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700" windowHeight="7260"/>
  </bookViews>
  <sheets>
    <sheet name="Ejec. Presup. Acumulada 2021" sheetId="1" r:id="rId1"/>
  </sheets>
  <definedNames>
    <definedName name="_xlnm.Print_Area" localSheetId="0">'Ejec. Presup. Acumulada 2021'!$A$1:$O$91</definedName>
    <definedName name="_xlnm.Print_Titles" localSheetId="0">'Ejec. Presup. Acumulada 2021'!$1:$1</definedName>
  </definedNames>
  <calcPr calcId="162913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C3" i="1" l="1"/>
  <c r="C9" i="1"/>
  <c r="C19" i="1"/>
  <c r="C45" i="1"/>
  <c r="C55" i="1"/>
  <c r="C67" i="1"/>
  <c r="B3" i="1"/>
  <c r="B9" i="1"/>
  <c r="B19" i="1"/>
  <c r="B45" i="1"/>
  <c r="B55" i="1"/>
  <c r="B67" i="1"/>
  <c r="C37" i="1"/>
  <c r="B37" i="1"/>
  <c r="C29" i="1"/>
  <c r="B29" i="1"/>
  <c r="G50" i="1"/>
  <c r="H50" i="1"/>
  <c r="I50" i="1"/>
  <c r="J50" i="1"/>
  <c r="K50" i="1"/>
  <c r="L50" i="1"/>
  <c r="M50" i="1"/>
  <c r="N50" i="1"/>
  <c r="O50" i="1"/>
  <c r="G49" i="1"/>
  <c r="H49" i="1"/>
  <c r="I49" i="1"/>
  <c r="L49" i="1"/>
  <c r="O49" i="1"/>
  <c r="G47" i="1"/>
  <c r="I47" i="1"/>
  <c r="K47" i="1"/>
  <c r="L47" i="1"/>
  <c r="M47" i="1"/>
  <c r="N47" i="1"/>
  <c r="O47" i="1"/>
  <c r="G46" i="1"/>
  <c r="H46" i="1"/>
  <c r="I46" i="1"/>
  <c r="J46" i="1"/>
  <c r="K46" i="1"/>
  <c r="L46" i="1"/>
  <c r="M46" i="1"/>
  <c r="N46" i="1"/>
  <c r="O46" i="1"/>
  <c r="G28" i="1"/>
  <c r="H28" i="1"/>
  <c r="I28" i="1"/>
  <c r="J28" i="1"/>
  <c r="K28" i="1"/>
  <c r="L28" i="1"/>
  <c r="M28" i="1"/>
  <c r="N28" i="1"/>
  <c r="O28" i="1"/>
  <c r="G26" i="1"/>
  <c r="H26" i="1"/>
  <c r="I26" i="1"/>
  <c r="J26" i="1"/>
  <c r="K26" i="1"/>
  <c r="L26" i="1"/>
  <c r="M26" i="1"/>
  <c r="N26" i="1"/>
  <c r="O26" i="1"/>
  <c r="I25" i="1"/>
  <c r="J25" i="1"/>
  <c r="M25" i="1"/>
  <c r="N25" i="1"/>
  <c r="O25" i="1"/>
  <c r="G22" i="1"/>
  <c r="H22" i="1"/>
  <c r="I22" i="1"/>
  <c r="J22" i="1"/>
  <c r="K22" i="1"/>
  <c r="L22" i="1"/>
  <c r="M22" i="1"/>
  <c r="N22" i="1"/>
  <c r="O22" i="1"/>
  <c r="G24" i="1"/>
  <c r="H24" i="1"/>
  <c r="I24" i="1"/>
  <c r="J24" i="1"/>
  <c r="K24" i="1"/>
  <c r="L24" i="1"/>
  <c r="N24" i="1"/>
  <c r="O24" i="1"/>
  <c r="G21" i="1"/>
  <c r="H21" i="1"/>
  <c r="I21" i="1"/>
  <c r="J21" i="1"/>
  <c r="K21" i="1"/>
  <c r="M21" i="1"/>
  <c r="N21" i="1"/>
  <c r="O21" i="1"/>
  <c r="F20" i="1"/>
  <c r="G20" i="1"/>
  <c r="H20" i="1"/>
  <c r="I20" i="1"/>
  <c r="J20" i="1"/>
  <c r="K20" i="1"/>
  <c r="L20" i="1"/>
  <c r="M20" i="1"/>
  <c r="N20" i="1"/>
  <c r="O20" i="1"/>
  <c r="D20" i="1"/>
  <c r="G18" i="1"/>
  <c r="H18" i="1"/>
  <c r="I18" i="1"/>
  <c r="J18" i="1"/>
  <c r="K18" i="1"/>
  <c r="L18" i="1"/>
  <c r="N18" i="1"/>
  <c r="O18" i="1"/>
  <c r="D18" i="1"/>
  <c r="G17" i="1"/>
  <c r="H17" i="1"/>
  <c r="I17" i="1"/>
  <c r="J17" i="1"/>
  <c r="K17" i="1"/>
  <c r="L17" i="1"/>
  <c r="M17" i="1"/>
  <c r="N17" i="1"/>
  <c r="O17" i="1"/>
  <c r="D17" i="1"/>
  <c r="G16" i="1"/>
  <c r="H16" i="1"/>
  <c r="I16" i="1"/>
  <c r="J16" i="1"/>
  <c r="K16" i="1"/>
  <c r="L16" i="1"/>
  <c r="M16" i="1"/>
  <c r="N16" i="1"/>
  <c r="O16" i="1"/>
  <c r="D16" i="1"/>
  <c r="F15" i="1"/>
  <c r="G15" i="1"/>
  <c r="H15" i="1"/>
  <c r="I15" i="1"/>
  <c r="J15" i="1"/>
  <c r="K15" i="1"/>
  <c r="L15" i="1"/>
  <c r="M15" i="1"/>
  <c r="N15" i="1"/>
  <c r="O15" i="1"/>
  <c r="D15" i="1"/>
  <c r="G14" i="1"/>
  <c r="H14" i="1"/>
  <c r="I14" i="1"/>
  <c r="J14" i="1"/>
  <c r="K14" i="1"/>
  <c r="L14" i="1"/>
  <c r="M14" i="1"/>
  <c r="N14" i="1"/>
  <c r="O14" i="1"/>
  <c r="D14" i="1"/>
  <c r="G13" i="1"/>
  <c r="H13" i="1"/>
  <c r="I13" i="1"/>
  <c r="J13" i="1"/>
  <c r="K13" i="1"/>
  <c r="L13" i="1"/>
  <c r="M13" i="1"/>
  <c r="N13" i="1"/>
  <c r="O13" i="1"/>
  <c r="D13" i="1"/>
  <c r="G12" i="1"/>
  <c r="H12" i="1"/>
  <c r="I12" i="1"/>
  <c r="J12" i="1"/>
  <c r="K12" i="1"/>
  <c r="L12" i="1"/>
  <c r="M12" i="1"/>
  <c r="N12" i="1"/>
  <c r="O12" i="1"/>
  <c r="D12" i="1"/>
  <c r="G11" i="1"/>
  <c r="H11" i="1"/>
  <c r="I11" i="1"/>
  <c r="J11" i="1"/>
  <c r="K11" i="1"/>
  <c r="L11" i="1"/>
  <c r="M11" i="1"/>
  <c r="N11" i="1"/>
  <c r="O11" i="1"/>
  <c r="D11" i="1"/>
  <c r="F10" i="1"/>
  <c r="G10" i="1"/>
  <c r="H10" i="1"/>
  <c r="I10" i="1"/>
  <c r="J10" i="1"/>
  <c r="K10" i="1"/>
  <c r="L10" i="1"/>
  <c r="M10" i="1"/>
  <c r="N10" i="1"/>
  <c r="O10" i="1"/>
  <c r="D10" i="1"/>
  <c r="F8" i="1"/>
  <c r="G8" i="1"/>
  <c r="H8" i="1"/>
  <c r="I8" i="1"/>
  <c r="J8" i="1"/>
  <c r="K8" i="1"/>
  <c r="L8" i="1"/>
  <c r="M8" i="1"/>
  <c r="N8" i="1"/>
  <c r="O8" i="1"/>
  <c r="D8" i="1"/>
  <c r="G7" i="1"/>
  <c r="O7" i="1"/>
  <c r="D7" i="1"/>
  <c r="G6" i="1"/>
  <c r="H6" i="1"/>
  <c r="I6" i="1"/>
  <c r="J6" i="1"/>
  <c r="K6" i="1"/>
  <c r="L6" i="1"/>
  <c r="M6" i="1"/>
  <c r="N6" i="1"/>
  <c r="O6" i="1"/>
  <c r="D6" i="1"/>
  <c r="F5" i="1"/>
  <c r="G5" i="1"/>
  <c r="H5" i="1"/>
  <c r="I5" i="1"/>
  <c r="J5" i="1"/>
  <c r="K5" i="1"/>
  <c r="L5" i="1"/>
  <c r="M5" i="1"/>
  <c r="N5" i="1"/>
  <c r="O5" i="1"/>
  <c r="D5" i="1"/>
  <c r="F4" i="1"/>
  <c r="G4" i="1"/>
  <c r="H4" i="1"/>
  <c r="I4" i="1"/>
  <c r="J4" i="1"/>
  <c r="K4" i="1"/>
  <c r="L4" i="1"/>
  <c r="M4" i="1"/>
  <c r="N4" i="1"/>
  <c r="O4" i="1"/>
  <c r="D4" i="1"/>
  <c r="D50" i="1"/>
  <c r="D26" i="1"/>
  <c r="D24" i="1"/>
  <c r="D21" i="1"/>
  <c r="D22" i="1"/>
  <c r="M23" i="1"/>
  <c r="D23" i="1"/>
  <c r="D25" i="1"/>
  <c r="D27" i="1"/>
  <c r="D28" i="1"/>
  <c r="D30" i="1"/>
  <c r="D31" i="1"/>
  <c r="D32" i="1"/>
  <c r="D33" i="1"/>
  <c r="D34" i="1"/>
  <c r="D35" i="1"/>
  <c r="D36" i="1"/>
  <c r="D29" i="1"/>
  <c r="D38" i="1"/>
  <c r="D39" i="1"/>
  <c r="D40" i="1"/>
  <c r="D41" i="1"/>
  <c r="D42" i="1"/>
  <c r="D43" i="1"/>
  <c r="D44" i="1"/>
  <c r="D37" i="1"/>
  <c r="D46" i="1"/>
  <c r="D47" i="1"/>
  <c r="G48" i="1"/>
  <c r="D48" i="1"/>
  <c r="D49" i="1"/>
  <c r="D51" i="1"/>
  <c r="D52" i="1"/>
  <c r="H53" i="1"/>
  <c r="I53" i="1"/>
  <c r="D53" i="1"/>
  <c r="D54" i="1"/>
  <c r="G56" i="1"/>
  <c r="H56" i="1"/>
  <c r="I56" i="1"/>
  <c r="L56" i="1"/>
  <c r="D56" i="1"/>
  <c r="D55" i="1"/>
  <c r="D60" i="1"/>
  <c r="D63" i="1"/>
  <c r="D45" i="1"/>
  <c r="D19" i="1"/>
  <c r="D9" i="1"/>
  <c r="D3" i="1"/>
  <c r="O67" i="1"/>
  <c r="O80" i="1"/>
  <c r="J70" i="1"/>
  <c r="D76" i="1"/>
  <c r="D70" i="1"/>
  <c r="D74" i="1"/>
  <c r="D73" i="1"/>
  <c r="D78" i="1"/>
  <c r="I78" i="1"/>
  <c r="F67" i="1"/>
  <c r="F80" i="1"/>
  <c r="N67" i="1"/>
  <c r="M67" i="1"/>
  <c r="M80" i="1"/>
  <c r="M71" i="1"/>
  <c r="N80" i="1"/>
  <c r="N109" i="1"/>
  <c r="N71" i="1"/>
  <c r="P67" i="1"/>
  <c r="P80" i="1"/>
  <c r="E67" i="1"/>
  <c r="E80" i="1"/>
  <c r="H67" i="1"/>
  <c r="G67" i="1"/>
  <c r="G80" i="1"/>
  <c r="I67" i="1"/>
  <c r="I80" i="1"/>
  <c r="D67" i="1"/>
  <c r="J67" i="1"/>
  <c r="J80" i="1"/>
  <c r="L67" i="1"/>
  <c r="L80" i="1"/>
  <c r="L71" i="1"/>
  <c r="K67" i="1"/>
  <c r="K80" i="1"/>
  <c r="H71" i="1"/>
  <c r="H78" i="1"/>
  <c r="H80" i="1"/>
  <c r="D80" i="1"/>
  <c r="H114" i="1"/>
  <c r="D109" i="1"/>
  <c r="E116" i="1"/>
  <c r="E109" i="1"/>
  <c r="J108" i="1"/>
  <c r="D111" i="1"/>
  <c r="D83" i="1"/>
  <c r="G111" i="1"/>
  <c r="D113" i="1"/>
</calcChain>
</file>

<file path=xl/sharedStrings.xml><?xml version="1.0" encoding="utf-8"?>
<sst xmlns="http://purl.oclc.org/ooxml/spreadsheetml/main" count="99" uniqueCount="97">
  <si>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</si>
  <si>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</si>
  <si>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</si>
  <si>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</si>
  <si>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</si>
  <si>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</si>
  <si>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</si>
  <si>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</si>
  <si>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</si>
  <si>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</si>
  <si>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</si>
  <si>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</si>
  <si>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</si>
  <si>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</si>
  <si>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</si>
  <si>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</si>
  <si>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</si>
  <si>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</si>
  <si>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</si>
  <si>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</si>
  <si>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</si>
  <si>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</si>
  <si>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</si>
  <si>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</si>
  <si>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</si>
  <si>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</si>
  <si>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</si>
  <si>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</si>
  <si>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</si>
  <si>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</si>
  <si>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</si>
  <si>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</si>
  <si>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</si>
  <si>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</si>
  <si>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</si>
  <si>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</si>
  <si>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</si>
  <si>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</si>
  <si>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</si>
  <si>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</si>
  <si>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</si>
  <si>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</si>
  <si>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</si>
  <si>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</si>
  <si>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</si>
  <si>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</si>
  <si>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</si>
  <si>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</si>
  <si>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</si>
  <si>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</si>
  <si>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</si>
  <si>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</si>
  <si>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</si>
  <si>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</si>
  <si>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</si>
  <si>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</si>
  <si>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</si>
  <si>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</si>
  <si>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</si>
  <si>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</si>
  <si>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</si>
  <si>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</si>
  <si>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</si>
  <si>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</si>
  <si>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</si>
  <si>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</si>
  <si>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</si>
  <si>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</si>
  <si>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</si>
  <si>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</si>
  <si>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</si>
  <si>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</si>
  <si>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</si>
  <si>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</si>
  <si>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</si>
  <si>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</si>
  <si>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</si>
  <si>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</si>
  <si>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</si>
  <si>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</si>
  <si>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</si>
  <si>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</si>
  <si>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</si>
  <si>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</si>
  <si>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</si>
  <si>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</si>
  <si>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</si>
  <si>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</si>
  <si>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</si>
  <si>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</si>
  <si>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Aprobado por:___________________________________________</t>
  </si>
  <si>
    <t>DIRECTORA FINANCIERA</t>
  </si>
  <si>
    <t>2.2.9 - SERVICIOS DE ALIMENTACION</t>
  </si>
  <si>
    <t>Lisette Jiménez</t>
  </si>
  <si>
    <t>MARIA DEL CARMEN ROJAS REYES</t>
  </si>
  <si>
    <t>Presupuesto Aprobado</t>
  </si>
  <si>
    <t xml:space="preserve">Presupuesto Modificado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</si>
</sst>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35"/>
      <color theme="1"/>
      <name val="Calibri"/>
      <family val="2"/>
      <scheme val="minor"/>
    </font>
    <font>
      <sz val="35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4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2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left" vertical="center" wrapText="1"/>
    </xf>
    <xf numFmtId="4" fontId="2" fillId="0" borderId="1" xfId="1" applyNumberFormat="1" applyFont="1" applyBorder="1" applyAlignment="1">
      <alignment horizontal="left" vertical="center" wrapText="1"/>
    </xf>
    <xf numFmtId="164" fontId="2" fillId="0" borderId="1" xfId="1" applyFont="1" applyBorder="1" applyAlignment="1">
      <alignment horizontal="left" vertical="center" wrapText="1"/>
    </xf>
    <xf numFmtId="164" fontId="2" fillId="4" borderId="1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" fontId="3" fillId="0" borderId="0" xfId="1" applyNumberFormat="1" applyFont="1"/>
    <xf numFmtId="4" fontId="3" fillId="0" borderId="0" xfId="0" applyNumberFormat="1" applyFont="1"/>
    <xf numFmtId="0" fontId="3" fillId="4" borderId="0" xfId="0" applyFont="1" applyFill="1"/>
    <xf numFmtId="164" fontId="3" fillId="0" borderId="0" xfId="1" applyFont="1"/>
    <xf numFmtId="0" fontId="3" fillId="0" borderId="0" xfId="0" applyFont="1" applyAlignment="1">
      <alignment horizontal="left" vertical="center" wrapText="1"/>
    </xf>
    <xf numFmtId="4" fontId="3" fillId="4" borderId="0" xfId="0" applyNumberFormat="1" applyFont="1" applyFill="1"/>
    <xf numFmtId="164" fontId="3" fillId="0" borderId="0" xfId="0" applyNumberFormat="1" applyFont="1"/>
    <xf numFmtId="165" fontId="3" fillId="0" borderId="0" xfId="0" applyNumberFormat="1" applyFont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43" fontId="3" fillId="0" borderId="0" xfId="0" applyNumberFormat="1" applyFont="1" applyAlignment="1">
      <alignment vertical="center" wrapText="1"/>
    </xf>
    <xf numFmtId="164" fontId="3" fillId="4" borderId="0" xfId="0" applyNumberFormat="1" applyFont="1" applyFill="1"/>
    <xf numFmtId="43" fontId="3" fillId="0" borderId="0" xfId="0" applyNumberFormat="1" applyFont="1" applyAlignment="1">
      <alignment vertical="center"/>
    </xf>
    <xf numFmtId="4" fontId="3" fillId="0" borderId="0" xfId="0" applyNumberFormat="1" applyFont="1" applyAlignment="1"/>
    <xf numFmtId="3" fontId="3" fillId="0" borderId="0" xfId="0" applyNumberFormat="1" applyFont="1" applyAlignment="1"/>
    <xf numFmtId="164" fontId="3" fillId="0" borderId="0" xfId="0" applyNumberFormat="1" applyFont="1" applyAlignment="1"/>
    <xf numFmtId="0" fontId="3" fillId="0" borderId="0" xfId="0" applyFont="1" applyAlignment="1"/>
    <xf numFmtId="165" fontId="3" fillId="0" borderId="0" xfId="0" applyNumberFormat="1" applyFont="1" applyAlignment="1">
      <alignment vertical="center"/>
    </xf>
    <xf numFmtId="0" fontId="3" fillId="4" borderId="0" xfId="0" applyFont="1" applyFill="1" applyAlignment="1"/>
    <xf numFmtId="165" fontId="2" fillId="3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4" borderId="1" xfId="0" applyNumberFormat="1" applyFont="1" applyFill="1" applyBorder="1" applyAlignment="1">
      <alignment vertical="center" wrapText="1"/>
    </xf>
    <xf numFmtId="4" fontId="2" fillId="0" borderId="0" xfId="0" applyNumberFormat="1" applyFont="1"/>
    <xf numFmtId="0" fontId="3" fillId="0" borderId="0" xfId="0" applyFont="1" applyAlignment="1">
      <alignment wrapText="1"/>
    </xf>
    <xf numFmtId="0" fontId="9" fillId="0" borderId="0" xfId="0" applyFont="1"/>
    <xf numFmtId="0" fontId="5" fillId="0" borderId="1" xfId="0" applyFont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165" fontId="2" fillId="3" borderId="0" xfId="0" applyNumberFormat="1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4" fontId="2" fillId="3" borderId="0" xfId="0" applyNumberFormat="1" applyFont="1" applyFill="1" applyBorder="1" applyAlignment="1">
      <alignment horizontal="center" vertical="center" wrapText="1"/>
    </xf>
    <xf numFmtId="43" fontId="2" fillId="3" borderId="0" xfId="0" applyNumberFormat="1" applyFont="1" applyFill="1" applyBorder="1" applyAlignment="1">
      <alignment horizontal="center" vertical="center" wrapText="1"/>
    </xf>
    <xf numFmtId="164" fontId="2" fillId="3" borderId="0" xfId="1" applyFont="1" applyFill="1" applyBorder="1" applyAlignment="1">
      <alignment horizontal="center" vertical="center" wrapText="1"/>
    </xf>
    <xf numFmtId="0" fontId="3" fillId="5" borderId="0" xfId="0" applyFont="1" applyFill="1"/>
    <xf numFmtId="4" fontId="3" fillId="0" borderId="0" xfId="0" applyNumberFormat="1" applyFont="1" applyAlignment="1">
      <alignment wrapText="1"/>
    </xf>
    <xf numFmtId="4" fontId="2" fillId="4" borderId="0" xfId="0" applyNumberFormat="1" applyFont="1" applyFill="1"/>
    <xf numFmtId="4" fontId="2" fillId="3" borderId="2" xfId="0" applyNumberFormat="1" applyFont="1" applyFill="1" applyBorder="1" applyAlignment="1">
      <alignment horizontal="right" vertical="center" wrapText="1"/>
    </xf>
    <xf numFmtId="165" fontId="3" fillId="0" borderId="0" xfId="0" applyNumberFormat="1" applyFont="1"/>
    <xf numFmtId="0" fontId="10" fillId="0" borderId="0" xfId="0" applyFont="1"/>
    <xf numFmtId="4" fontId="10" fillId="0" borderId="0" xfId="0" applyNumberFormat="1" applyFont="1"/>
    <xf numFmtId="0" fontId="3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4" fontId="11" fillId="0" borderId="0" xfId="0" applyNumberFormat="1" applyFont="1"/>
    <xf numFmtId="0" fontId="11" fillId="0" borderId="0" xfId="0" applyFont="1"/>
    <xf numFmtId="4" fontId="6" fillId="0" borderId="0" xfId="0" applyNumberFormat="1" applyFont="1"/>
    <xf numFmtId="0" fontId="6" fillId="0" borderId="0" xfId="0" applyFont="1"/>
    <xf numFmtId="4" fontId="12" fillId="0" borderId="0" xfId="0" applyNumberFormat="1" applyFont="1"/>
    <xf numFmtId="0" fontId="6" fillId="3" borderId="2" xfId="0" applyFont="1" applyFill="1" applyBorder="1" applyAlignment="1">
      <alignment horizontal="left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4" fontId="3" fillId="6" borderId="0" xfId="0" applyNumberFormat="1" applyFont="1" applyFill="1"/>
    <xf numFmtId="0" fontId="3" fillId="6" borderId="0" xfId="0" applyFont="1" applyFill="1"/>
    <xf numFmtId="4" fontId="2" fillId="4" borderId="1" xfId="1" applyNumberFormat="1" applyFont="1" applyFill="1" applyBorder="1" applyAlignment="1">
      <alignment horizontal="left" vertical="center" wrapText="1"/>
    </xf>
    <xf numFmtId="164" fontId="3" fillId="4" borderId="0" xfId="1" applyFont="1" applyFill="1"/>
    <xf numFmtId="4" fontId="3" fillId="4" borderId="0" xfId="1" applyNumberFormat="1" applyFont="1" applyFill="1"/>
    <xf numFmtId="164" fontId="3" fillId="4" borderId="0" xfId="1" applyFont="1" applyFill="1" applyBorder="1"/>
    <xf numFmtId="0" fontId="3" fillId="4" borderId="0" xfId="0" applyFont="1" applyFill="1" applyBorder="1"/>
    <xf numFmtId="164" fontId="4" fillId="4" borderId="0" xfId="1" applyFont="1" applyFill="1" applyBorder="1"/>
    <xf numFmtId="43" fontId="3" fillId="4" borderId="0" xfId="0" applyNumberFormat="1" applyFont="1" applyFill="1" applyBorder="1"/>
    <xf numFmtId="164" fontId="3" fillId="4" borderId="0" xfId="0" applyNumberFormat="1" applyFont="1" applyFill="1" applyBorder="1"/>
    <xf numFmtId="164" fontId="3" fillId="4" borderId="0" xfId="0" applyNumberFormat="1" applyFont="1" applyFill="1" applyAlignment="1"/>
    <xf numFmtId="4" fontId="3" fillId="4" borderId="0" xfId="0" applyNumberFormat="1" applyFont="1" applyFill="1" applyAlignment="1"/>
    <xf numFmtId="0" fontId="3" fillId="4" borderId="0" xfId="0" applyFont="1" applyFill="1" applyBorder="1" applyAlignment="1"/>
    <xf numFmtId="165" fontId="3" fillId="4" borderId="0" xfId="0" applyNumberFormat="1" applyFont="1" applyFill="1"/>
    <xf numFmtId="4" fontId="6" fillId="2" borderId="5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center" vertical="center" wrapText="1"/>
    </xf>
    <xf numFmtId="4" fontId="2" fillId="0" borderId="0" xfId="1" applyNumberFormat="1" applyFont="1"/>
    <xf numFmtId="4" fontId="13" fillId="0" borderId="0" xfId="0" applyNumberFormat="1" applyFont="1" applyAlignment="1"/>
    <xf numFmtId="4" fontId="5" fillId="0" borderId="0" xfId="0" applyNumberFormat="1" applyFont="1" applyAlignment="1"/>
    <xf numFmtId="165" fontId="3" fillId="4" borderId="0" xfId="0" applyNumberFormat="1" applyFont="1" applyFill="1" applyBorder="1"/>
    <xf numFmtId="43" fontId="3" fillId="4" borderId="0" xfId="0" applyNumberFormat="1" applyFont="1" applyFill="1"/>
    <xf numFmtId="4" fontId="6" fillId="0" borderId="0" xfId="0" applyNumberFormat="1" applyFont="1" applyAlignment="1">
      <alignment wrapText="1"/>
    </xf>
    <xf numFmtId="4" fontId="4" fillId="4" borderId="0" xfId="1" applyNumberFormat="1" applyFont="1" applyFill="1"/>
    <xf numFmtId="4" fontId="14" fillId="2" borderId="5" xfId="0" applyNumberFormat="1" applyFont="1" applyFill="1" applyBorder="1" applyAlignment="1">
      <alignment horizontal="center" vertical="center" wrapText="1"/>
    </xf>
    <xf numFmtId="4" fontId="15" fillId="4" borderId="1" xfId="1" applyNumberFormat="1" applyFont="1" applyFill="1" applyBorder="1" applyAlignment="1">
      <alignment horizontal="left" vertical="center" wrapText="1"/>
    </xf>
    <xf numFmtId="4" fontId="4" fillId="4" borderId="0" xfId="0" applyNumberFormat="1" applyFont="1" applyFill="1"/>
    <xf numFmtId="4" fontId="4" fillId="4" borderId="0" xfId="0" applyNumberFormat="1" applyFont="1" applyFill="1" applyAlignment="1"/>
    <xf numFmtId="4" fontId="15" fillId="3" borderId="2" xfId="0" applyNumberFormat="1" applyFont="1" applyFill="1" applyBorder="1" applyAlignment="1">
      <alignment horizontal="center" vertical="center" wrapText="1"/>
    </xf>
    <xf numFmtId="4" fontId="15" fillId="4" borderId="1" xfId="0" applyNumberFormat="1" applyFont="1" applyFill="1" applyBorder="1" applyAlignment="1">
      <alignment vertical="center" wrapText="1"/>
    </xf>
    <xf numFmtId="4" fontId="15" fillId="3" borderId="0" xfId="0" applyNumberFormat="1" applyFont="1" applyFill="1" applyBorder="1" applyAlignment="1">
      <alignment horizontal="center" vertical="center" wrapText="1"/>
    </xf>
    <xf numFmtId="4" fontId="4" fillId="6" borderId="0" xfId="0" applyNumberFormat="1" applyFont="1" applyFill="1"/>
    <xf numFmtId="164" fontId="4" fillId="6" borderId="0" xfId="1" applyFont="1" applyFill="1"/>
    <xf numFmtId="0" fontId="2" fillId="3" borderId="0" xfId="0" applyFont="1" applyFill="1" applyBorder="1" applyAlignment="1">
      <alignment horizontal="left" vertical="center" wrapText="1"/>
    </xf>
    <xf numFmtId="164" fontId="2" fillId="0" borderId="0" xfId="1" applyFont="1" applyAlignment="1">
      <alignment horizontal="left" vertical="center" wrapText="1"/>
    </xf>
    <xf numFmtId="164" fontId="3" fillId="0" borderId="0" xfId="1" applyFont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43" fontId="13" fillId="3" borderId="0" xfId="0" applyNumberFormat="1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P116"/>
  <sheetViews>
    <sheetView tabSelected="1" view="pageBreakPreview" zoomScale="32" zoomScaleNormal="32" zoomScaleSheetLayoutView="32" workbookViewId="0">
      <selection activeCell="N16" sqref="N16"/>
    </sheetView>
  </sheetViews>
  <sheetFormatPr baseColWidth="10" defaultColWidth="9.140625" defaultRowHeight="31.5" x14ac:dyDescent="0.5"/>
  <cols>
    <col min="1" max="1" width="127.7109375" style="30" customWidth="1"/>
    <col min="2" max="2" width="49.85546875" style="30" customWidth="1"/>
    <col min="3" max="3" width="48.85546875" style="30" customWidth="1"/>
    <col min="4" max="4" width="42.28515625" style="8" customWidth="1"/>
    <col min="5" max="5" width="39.5703125" style="1" customWidth="1"/>
    <col min="6" max="6" width="38" style="1" customWidth="1"/>
    <col min="7" max="7" width="38.42578125" style="1" customWidth="1"/>
    <col min="8" max="8" width="39.7109375" style="1" customWidth="1"/>
    <col min="9" max="9" width="43.7109375" style="9" customWidth="1"/>
    <col min="10" max="10" width="40.42578125" style="1" customWidth="1"/>
    <col min="11" max="11" width="47.140625" style="59" customWidth="1"/>
    <col min="12" max="12" width="41.5703125" style="59" customWidth="1"/>
    <col min="13" max="13" width="45.28515625" style="58" customWidth="1"/>
    <col min="14" max="14" width="40.5703125" style="90" customWidth="1"/>
    <col min="15" max="15" width="44.85546875" style="40" customWidth="1"/>
    <col min="16" max="16" width="44.85546875" style="1" customWidth="1"/>
    <col min="17" max="17" width="2.42578125" style="1" customWidth="1"/>
    <col min="18" max="16384" width="9.140625" style="1"/>
  </cols>
  <sheetData>
    <row r="1" spans="1:16" s="31" customFormat="1" ht="93.75" thickBot="1" x14ac:dyDescent="0.75">
      <c r="A1" s="57" t="s">
        <v>0</v>
      </c>
      <c r="B1" s="97" t="s">
        <v>95</v>
      </c>
      <c r="C1" s="97" t="s">
        <v>96</v>
      </c>
      <c r="D1" s="55" t="s">
        <v>1</v>
      </c>
      <c r="E1" s="56" t="s">
        <v>2</v>
      </c>
      <c r="F1" s="56" t="s">
        <v>3</v>
      </c>
      <c r="G1" s="56" t="s">
        <v>4</v>
      </c>
      <c r="H1" s="56" t="s">
        <v>5</v>
      </c>
      <c r="I1" s="56" t="s">
        <v>6</v>
      </c>
      <c r="J1" s="56" t="s">
        <v>7</v>
      </c>
      <c r="K1" s="56" t="s">
        <v>8</v>
      </c>
      <c r="L1" s="56" t="s">
        <v>9</v>
      </c>
      <c r="M1" s="72" t="s">
        <v>10</v>
      </c>
      <c r="N1" s="83" t="s">
        <v>11</v>
      </c>
      <c r="O1" s="73" t="s">
        <v>12</v>
      </c>
      <c r="P1" s="75" t="s">
        <v>13</v>
      </c>
    </row>
    <row r="2" spans="1:16" ht="33.75" x14ac:dyDescent="0.5">
      <c r="A2" s="32" t="s">
        <v>14</v>
      </c>
      <c r="B2" s="32"/>
      <c r="C2" s="32"/>
      <c r="D2" s="3"/>
      <c r="E2" s="4"/>
      <c r="F2" s="4"/>
      <c r="G2" s="4"/>
      <c r="H2" s="4"/>
      <c r="I2" s="5"/>
      <c r="J2" s="4"/>
      <c r="K2" s="5"/>
      <c r="L2" s="5"/>
      <c r="M2" s="60"/>
      <c r="N2" s="84"/>
      <c r="O2" s="5"/>
      <c r="P2" s="4"/>
    </row>
    <row r="3" spans="1:16" x14ac:dyDescent="0.5">
      <c r="A3" s="6" t="s">
        <v>15</v>
      </c>
      <c r="B3" s="93">
        <f>SUM(B4:B8)</f>
        <v>220773015</v>
      </c>
      <c r="C3" s="93">
        <f>SUM(C4:C8)</f>
        <v>-1422963.62</v>
      </c>
      <c r="D3" s="76">
        <f>SUM(D4:D8)</f>
        <v>197613532.36000004</v>
      </c>
      <c r="E3" s="8"/>
      <c r="G3" s="8"/>
      <c r="J3" s="8"/>
      <c r="K3" s="61"/>
      <c r="L3" s="61"/>
      <c r="M3" s="62"/>
      <c r="N3" s="82"/>
      <c r="O3" s="61"/>
      <c r="P3" s="10"/>
    </row>
    <row r="4" spans="1:16" x14ac:dyDescent="0.5">
      <c r="A4" s="11" t="s">
        <v>16</v>
      </c>
      <c r="B4" s="94">
        <v>193030850</v>
      </c>
      <c r="C4" s="94">
        <v>-1688693.55</v>
      </c>
      <c r="D4" s="7">
        <f>SUM(E4:O4)</f>
        <v>173710233.26000005</v>
      </c>
      <c r="E4" s="8">
        <v>11518009.199999999</v>
      </c>
      <c r="F4" s="8">
        <f>22807248.4-E4</f>
        <v>11289239.199999999</v>
      </c>
      <c r="G4" s="8">
        <f>35486587.6-E4-F4</f>
        <v>12679339.200000003</v>
      </c>
      <c r="H4" s="8">
        <f>49167626.8-E4-F4-G4</f>
        <v>13681039.199999992</v>
      </c>
      <c r="I4" s="12">
        <f>62084866-E4-F4-G4-H4</f>
        <v>12917239.199999999</v>
      </c>
      <c r="J4" s="8">
        <f>70123055.2-E4-F4-G4-H4-I4</f>
        <v>8038189.200000003</v>
      </c>
      <c r="K4" s="63">
        <f>87328522.1-E4-F4-G4-H4-I4-J4</f>
        <v>17205466.899999995</v>
      </c>
      <c r="L4" s="61">
        <f>119808017.78-E4-F4-G4-H4-I4-J4-K4</f>
        <v>32479495.680000003</v>
      </c>
      <c r="M4" s="62">
        <f>132628234.68-E4-F4-G4-H4-I4-J4-K4-L4</f>
        <v>12820216.90000001</v>
      </c>
      <c r="N4" s="82">
        <f>145729201.58-E4-F4-G4-H4-I4-J4-K4-L4-M4</f>
        <v>13100966.900000006</v>
      </c>
      <c r="O4" s="61">
        <f>173710233.26-E4-F4-G4-H4-I4-J4-K4-L4-M4-N4</f>
        <v>27981031.680000022</v>
      </c>
      <c r="P4" s="10"/>
    </row>
    <row r="5" spans="1:16" x14ac:dyDescent="0.5">
      <c r="A5" s="11" t="s">
        <v>17</v>
      </c>
      <c r="B5" s="94">
        <v>3432294</v>
      </c>
      <c r="C5" s="94">
        <v>0</v>
      </c>
      <c r="D5" s="7">
        <f>SUM(E5:O5)</f>
        <v>2695769.5</v>
      </c>
      <c r="E5" s="8">
        <v>235524.5</v>
      </c>
      <c r="F5" s="8">
        <f>430049-E5</f>
        <v>194524.5</v>
      </c>
      <c r="G5" s="8">
        <f>657573.5-E5-F5</f>
        <v>227524.5</v>
      </c>
      <c r="H5" s="8">
        <f>885098-E5-F5-G5</f>
        <v>227524.5</v>
      </c>
      <c r="I5" s="12">
        <f>1112622.5-E5-F5-G5-H5</f>
        <v>227524.5</v>
      </c>
      <c r="J5" s="8">
        <f>1340147-E5-F5-G5-H5-I5</f>
        <v>227524.5</v>
      </c>
      <c r="K5" s="63">
        <f>1592671.5-E5-F5-G5-H5-I5-J5</f>
        <v>252524.5</v>
      </c>
      <c r="L5" s="12">
        <f>1845196-E5-F5-G5-H5-I5-J5-K5</f>
        <v>252524.5</v>
      </c>
      <c r="M5" s="12">
        <f>2123720.5-E5-F5-G5-H5-I5-J5-K5-L5</f>
        <v>278524.5</v>
      </c>
      <c r="N5" s="85">
        <f>2402245-E5-F5-G5-H5-I5-J5-K5-L5-M5</f>
        <v>278524.5</v>
      </c>
      <c r="O5" s="17">
        <f>2695769.5-E5-F5-G5-H5-I5-J5-K5-L5-M5-N5</f>
        <v>293524.5</v>
      </c>
      <c r="P5" s="13"/>
    </row>
    <row r="6" spans="1:16" x14ac:dyDescent="0.5">
      <c r="A6" s="11" t="s">
        <v>18</v>
      </c>
      <c r="B6" s="94">
        <v>351000</v>
      </c>
      <c r="C6" s="94">
        <v>297000</v>
      </c>
      <c r="D6" s="7">
        <f>SUM(E6:O6)</f>
        <v>162000</v>
      </c>
      <c r="E6" s="14">
        <v>0</v>
      </c>
      <c r="F6" s="14">
        <v>0</v>
      </c>
      <c r="G6" s="8">
        <f>0-E6-F6</f>
        <v>0</v>
      </c>
      <c r="H6" s="8">
        <f>54000-E6-F6-G6</f>
        <v>54000</v>
      </c>
      <c r="I6" s="8">
        <f>108000-E6-F6-G6-H6</f>
        <v>54000</v>
      </c>
      <c r="J6" s="8">
        <f>162000-E6-F6-G6-H6-I6</f>
        <v>54000</v>
      </c>
      <c r="K6" s="12">
        <f>162000-E6-F6-G6-H6-I6-J6</f>
        <v>0</v>
      </c>
      <c r="L6" s="17">
        <f>162000-E6-F6-G6-H6-I6-J6-K6</f>
        <v>0</v>
      </c>
      <c r="M6" s="12">
        <f>162000-E6-F6-G6-H6-I6-J6-K6-L6</f>
        <v>0</v>
      </c>
      <c r="N6" s="85">
        <f>162000-E6-F6-G6-H6-I6-J6-K6-L6-M6</f>
        <v>0</v>
      </c>
      <c r="O6" s="17">
        <f>162000-E6-G6-H6-I6-J6-K6-L6-M6-N6</f>
        <v>0</v>
      </c>
      <c r="P6" s="13"/>
    </row>
    <row r="7" spans="1:16" x14ac:dyDescent="0.5">
      <c r="A7" s="11" t="s">
        <v>19</v>
      </c>
      <c r="B7" s="94">
        <v>0</v>
      </c>
      <c r="C7" s="94">
        <v>0</v>
      </c>
      <c r="D7" s="7">
        <f>SUM(E7:O7)</f>
        <v>0</v>
      </c>
      <c r="E7" s="14">
        <v>0</v>
      </c>
      <c r="F7" s="14">
        <v>0</v>
      </c>
      <c r="G7" s="44">
        <f>0-E7-F7</f>
        <v>0</v>
      </c>
      <c r="J7" s="8"/>
      <c r="K7" s="63"/>
      <c r="L7" s="9"/>
      <c r="M7" s="12">
        <v>0</v>
      </c>
      <c r="N7" s="85"/>
      <c r="O7" s="80">
        <f>0-E7-F7-G7-H7-I7-J7-K7-L7-M7-N7</f>
        <v>0</v>
      </c>
    </row>
    <row r="8" spans="1:16" x14ac:dyDescent="0.5">
      <c r="A8" s="11" t="s">
        <v>20</v>
      </c>
      <c r="B8" s="94">
        <v>23958871</v>
      </c>
      <c r="C8" s="94">
        <v>-31270.07</v>
      </c>
      <c r="D8" s="7">
        <f>SUM(E8:O8)</f>
        <v>21045529.600000001</v>
      </c>
      <c r="E8" s="8">
        <v>1748648.06</v>
      </c>
      <c r="F8" s="8">
        <f>3462732.61-E8</f>
        <v>1714084.5499999998</v>
      </c>
      <c r="G8" s="8">
        <f>5388450.01-E8-F8</f>
        <v>1925717.4</v>
      </c>
      <c r="H8" s="8">
        <f>7467643.34-E8-F8-G8</f>
        <v>2079193.3299999996</v>
      </c>
      <c r="I8" s="12">
        <f>9429254.9-E8-F8-G8-H8</f>
        <v>1961611.5600000005</v>
      </c>
      <c r="J8" s="8">
        <f>10648375.85-E8-F8-G8-H8-I8</f>
        <v>1219120.9499999997</v>
      </c>
      <c r="K8" s="63">
        <f>13264158.4-E8-F8-G8-H8-I8-J8</f>
        <v>2615782.5499999984</v>
      </c>
      <c r="L8" s="17">
        <f>15114455.56-E8-F8-G8-H8-I8-J8-K8</f>
        <v>1850297.1600000006</v>
      </c>
      <c r="M8" s="12">
        <f>17068027.14-E8-F8-G8-H8-I8-J8-K8-L8</f>
        <v>1953571.5800000019</v>
      </c>
      <c r="N8" s="85">
        <f>19063658.36-E8-F8-G8-H8-I8-J8-K8-L8-M8</f>
        <v>1995631.2199999983</v>
      </c>
      <c r="O8" s="17">
        <f>21045529.6-E8-F8-G8-H8-I8-J8-K8-L8-M8-N8</f>
        <v>1981871.2400000026</v>
      </c>
      <c r="P8" s="13"/>
    </row>
    <row r="9" spans="1:16" x14ac:dyDescent="0.5">
      <c r="A9" s="6" t="s">
        <v>21</v>
      </c>
      <c r="B9" s="93">
        <f>SUM(B10:B18)</f>
        <v>29625000</v>
      </c>
      <c r="C9" s="93">
        <f>SUM(C10:C18)</f>
        <v>23437387.240000002</v>
      </c>
      <c r="D9" s="76">
        <f>SUM(D10:D18)</f>
        <v>31178922.370000005</v>
      </c>
      <c r="E9" s="15"/>
      <c r="K9" s="64"/>
      <c r="L9" s="9"/>
      <c r="M9" s="12"/>
      <c r="N9" s="85"/>
      <c r="O9" s="17"/>
    </row>
    <row r="10" spans="1:16" x14ac:dyDescent="0.5">
      <c r="A10" s="11" t="s">
        <v>22</v>
      </c>
      <c r="B10" s="94">
        <v>12770000</v>
      </c>
      <c r="C10" s="94">
        <v>-3834815.71</v>
      </c>
      <c r="D10" s="7">
        <f>SUM(E10:P10)</f>
        <v>7688657.6200000001</v>
      </c>
      <c r="E10" s="16">
        <v>654014.03</v>
      </c>
      <c r="F10" s="8">
        <f>1624786.42-E10</f>
        <v>970772.3899999999</v>
      </c>
      <c r="G10" s="8">
        <f>1916872.08-E10-F10</f>
        <v>292085.66000000015</v>
      </c>
      <c r="H10" s="8">
        <f>2584086.37-E10-F10-G10</f>
        <v>667214.29</v>
      </c>
      <c r="I10" s="12">
        <f>3245568.55-E10-F10-G10-H10</f>
        <v>661482.17999999947</v>
      </c>
      <c r="J10" s="8">
        <f>3987146.97-E10-F10-G10-H10-I10</f>
        <v>741578.42000000109</v>
      </c>
      <c r="K10" s="63">
        <f>4667008.66-E10-F10-G10-H10-I10-J10</f>
        <v>679861.68999999948</v>
      </c>
      <c r="L10" s="17">
        <f>5444466.5-E10-F10-G10-H10-I10-J10-K10</f>
        <v>777457.83999999962</v>
      </c>
      <c r="M10" s="12">
        <f>6211293.72-E10-F10-G10-H10-I10-J10-K10-L10</f>
        <v>766827.22</v>
      </c>
      <c r="N10" s="85">
        <f>6963446.58-E10-F10-G10-H10-I10-J10-K10-L10-M10</f>
        <v>752152.86000000034</v>
      </c>
      <c r="O10" s="17">
        <f>7688657.62-E10-F10-G10-H10-I10-J10-K10-L10-M10-N10</f>
        <v>725211.0399999998</v>
      </c>
      <c r="P10" s="13"/>
    </row>
    <row r="11" spans="1:16" x14ac:dyDescent="0.5">
      <c r="A11" s="11" t="s">
        <v>23</v>
      </c>
      <c r="B11" s="94">
        <v>0</v>
      </c>
      <c r="C11" s="94">
        <v>1500000</v>
      </c>
      <c r="D11" s="7">
        <f>SUM(E11:P11)</f>
        <v>1271805.6999999997</v>
      </c>
      <c r="E11" s="14">
        <v>0</v>
      </c>
      <c r="F11" s="14">
        <v>0</v>
      </c>
      <c r="G11" s="13">
        <f>219120.1-E11-F11</f>
        <v>219120.1</v>
      </c>
      <c r="H11" s="13">
        <f>244120.1-E11-F11-G11</f>
        <v>25000</v>
      </c>
      <c r="I11" s="17">
        <f>244120.1-E11-F11-G11-H11</f>
        <v>0</v>
      </c>
      <c r="J11" s="13">
        <f>244120.1-E11-F11-G11-H11-I11</f>
        <v>0</v>
      </c>
      <c r="K11" s="67">
        <f>244120.1-+E11-F11-G11-H11-I11-J11</f>
        <v>0</v>
      </c>
      <c r="L11" s="80">
        <f>788926.1-E11-F11-G11-H11-I11-J11-K11</f>
        <v>544806</v>
      </c>
      <c r="M11" s="12">
        <f>1271805.7-E11-F11-G11-H11-I11-J11-K11-L11</f>
        <v>482879.59999999986</v>
      </c>
      <c r="N11" s="85">
        <f>1271805.7-E11-F11-G11-H11-I11-J11-K11-L11-M11</f>
        <v>0</v>
      </c>
      <c r="O11" s="61">
        <f>1271805.7-E11-F11-G11-H11-I11-J11-K11-L11-M11-N11</f>
        <v>0</v>
      </c>
    </row>
    <row r="12" spans="1:16" x14ac:dyDescent="0.5">
      <c r="A12" s="11" t="s">
        <v>24</v>
      </c>
      <c r="B12" s="94">
        <v>5000000</v>
      </c>
      <c r="C12" s="94">
        <v>-275235.62</v>
      </c>
      <c r="D12" s="7">
        <f t="shared" ref="D12:D18" si="0">SUM(E12:O12)</f>
        <v>2886579</v>
      </c>
      <c r="E12" s="14">
        <v>0</v>
      </c>
      <c r="F12" s="14">
        <v>0</v>
      </c>
      <c r="G12" s="8">
        <f>0-E12-F12</f>
        <v>0</v>
      </c>
      <c r="H12" s="8">
        <f>166800-E12-F12-G12</f>
        <v>166800</v>
      </c>
      <c r="I12" s="12">
        <f>271072.5-E12-F12-G12-H12</f>
        <v>104272.5</v>
      </c>
      <c r="J12" s="8">
        <f>729270-E12-F12-G12-H12-I12</f>
        <v>458197.5</v>
      </c>
      <c r="K12" s="65">
        <f>1299872.5-E12-F12-G12-H12-I12-J12</f>
        <v>570602.5</v>
      </c>
      <c r="L12" s="17">
        <f>1376872.5-E12-F12-G12-H12-I12-J12-K12</f>
        <v>77000</v>
      </c>
      <c r="M12" s="12">
        <f>1878666.5-E12-F12-G12-H12-I12-J12-K12-L12</f>
        <v>501794</v>
      </c>
      <c r="N12" s="85">
        <f>1970669-E12-F12-G12-H12-I12-J12-K12-L12-M12</f>
        <v>92002.5</v>
      </c>
      <c r="O12" s="17">
        <f>2886579-E12-F12-G12-H12-I12-J12-K12-L12-M12-N12</f>
        <v>915910</v>
      </c>
      <c r="P12" s="13"/>
    </row>
    <row r="13" spans="1:16" x14ac:dyDescent="0.5">
      <c r="A13" s="11" t="s">
        <v>25</v>
      </c>
      <c r="B13" s="94">
        <v>5000</v>
      </c>
      <c r="C13" s="94">
        <v>678859.74</v>
      </c>
      <c r="D13" s="7">
        <f t="shared" si="0"/>
        <v>652060</v>
      </c>
      <c r="E13" s="14">
        <v>0</v>
      </c>
      <c r="F13" s="14">
        <v>0</v>
      </c>
      <c r="G13" s="8">
        <f>0-E13-F13</f>
        <v>0</v>
      </c>
      <c r="H13" s="8">
        <f>18500-E13-F13-G13</f>
        <v>18500</v>
      </c>
      <c r="I13" s="12">
        <f>18500-E13-F13-G13-H13</f>
        <v>0</v>
      </c>
      <c r="J13" s="8">
        <f>18500-E13-F13-G13-H13-I13</f>
        <v>0</v>
      </c>
      <c r="K13" s="63">
        <f>18500-E13-F13-G13-H13-I13-J13</f>
        <v>0</v>
      </c>
      <c r="L13" s="17">
        <f>197860-E13-F13-G13-H13-I13-J13-K13</f>
        <v>179360</v>
      </c>
      <c r="M13" s="12">
        <f>371500-E13-F13-G13-H13-I13-J13-K13-L13</f>
        <v>173640</v>
      </c>
      <c r="N13" s="85">
        <f>576460-E13-F13-G13-H13-I13-J13-K13-L13-M13</f>
        <v>204960</v>
      </c>
      <c r="O13" s="17">
        <f>652060-E13-F13-G13-H13-I13-J13-K13-L13-M13-N13</f>
        <v>75600</v>
      </c>
    </row>
    <row r="14" spans="1:16" x14ac:dyDescent="0.5">
      <c r="A14" s="11" t="s">
        <v>26</v>
      </c>
      <c r="B14" s="94">
        <v>4860000</v>
      </c>
      <c r="C14" s="94">
        <v>-365000</v>
      </c>
      <c r="D14" s="7">
        <f t="shared" si="0"/>
        <v>2759849.95</v>
      </c>
      <c r="E14" s="16">
        <v>0</v>
      </c>
      <c r="F14" s="14">
        <v>0</v>
      </c>
      <c r="G14" s="8">
        <f>624108.63-E14-F14</f>
        <v>624108.63</v>
      </c>
      <c r="H14" s="8">
        <f>963553.08-E14-F14-G14</f>
        <v>339444.44999999995</v>
      </c>
      <c r="I14" s="12">
        <f>1505027.42-E14-F14-G14-H14</f>
        <v>541474.34</v>
      </c>
      <c r="J14" s="8">
        <f>1550027.42-E14-F14-G14-H14-I14</f>
        <v>45000</v>
      </c>
      <c r="K14" s="66">
        <f>2021872.15-E14-F14-G14-H14-I14-J14</f>
        <v>471844.7300000001</v>
      </c>
      <c r="L14" s="17">
        <f>2226272.15-E14-F14-G14-H14-I14-J14-K14</f>
        <v>204400</v>
      </c>
      <c r="M14" s="12">
        <f>2512422.15-E14-F14-G14-H14-I14-J14-K14-L14</f>
        <v>286150</v>
      </c>
      <c r="N14" s="85">
        <f>2668072.17-E14-F14-G14-H14-I14-J14-K14-L14-M14</f>
        <v>155650.0199999999</v>
      </c>
      <c r="O14" s="17">
        <f>2759849.95-E14-F14-G14-H14-I14-J14-K14-L14-M14-N14</f>
        <v>91777.780000000261</v>
      </c>
      <c r="P14" s="13"/>
    </row>
    <row r="15" spans="1:16" x14ac:dyDescent="0.5">
      <c r="A15" s="11" t="s">
        <v>27</v>
      </c>
      <c r="B15" s="94">
        <v>1800000</v>
      </c>
      <c r="C15" s="94">
        <v>-72388.77</v>
      </c>
      <c r="D15" s="7">
        <f t="shared" si="0"/>
        <v>1468680.6200000003</v>
      </c>
      <c r="E15" s="16">
        <v>41477.03</v>
      </c>
      <c r="F15" s="8">
        <f>44871.23-E15</f>
        <v>3394.2000000000044</v>
      </c>
      <c r="G15" s="8">
        <f>230268.16-E15-F15</f>
        <v>185396.93</v>
      </c>
      <c r="H15" s="8">
        <f>310491.26-E15-F15-G15</f>
        <v>80223.099999999977</v>
      </c>
      <c r="I15" s="12">
        <f>735592.11-E15-F15-G15-H15</f>
        <v>425100.85000000003</v>
      </c>
      <c r="J15" s="8">
        <f>822662.49-E15-F15-G15-H15-I15</f>
        <v>87070.380000000063</v>
      </c>
      <c r="K15" s="63">
        <f>921262.2-E15-F15-G15-H15-I15-J15</f>
        <v>98599.709999999963</v>
      </c>
      <c r="L15" s="17">
        <f>996632.45-E15-F15-G15-H15-I15-J15-K15</f>
        <v>75370.25</v>
      </c>
      <c r="M15" s="12">
        <f>1076073.62-E15-F15-G15-H15-I15-J15-K15-L15</f>
        <v>79441.170000000158</v>
      </c>
      <c r="N15" s="85">
        <f>1392246.91-E15-F15-G15-H15-I15-J15-K15-L15-M15</f>
        <v>316173.28999999957</v>
      </c>
      <c r="O15" s="17">
        <f>1468680.62-E15-F15-G15-H15-I15-J15-K15-L15-M15-N15</f>
        <v>76433.710000000428</v>
      </c>
      <c r="P15" s="13"/>
    </row>
    <row r="16" spans="1:16" ht="63" x14ac:dyDescent="0.5">
      <c r="A16" s="11" t="s">
        <v>28</v>
      </c>
      <c r="B16" s="94">
        <v>2600000</v>
      </c>
      <c r="C16" s="94">
        <v>9303607.5999999996</v>
      </c>
      <c r="D16" s="7">
        <f t="shared" si="0"/>
        <v>2516328.1399999997</v>
      </c>
      <c r="E16" s="14">
        <v>0</v>
      </c>
      <c r="F16" s="14">
        <v>0</v>
      </c>
      <c r="G16" s="8">
        <f>17818-E16-F16</f>
        <v>17818</v>
      </c>
      <c r="H16" s="8">
        <f>91282.44-E16-F16-G16</f>
        <v>73464.44</v>
      </c>
      <c r="I16" s="12">
        <f>460115.99-E16-F16-G16-H16</f>
        <v>368833.55</v>
      </c>
      <c r="J16" s="8">
        <f>460115.99-E16-F16-G16-H16-I16</f>
        <v>0</v>
      </c>
      <c r="K16" s="63">
        <f>474299.59-E16-F16-G16-H16-I16-J16</f>
        <v>14183.600000000035</v>
      </c>
      <c r="L16" s="17">
        <f>474299.59-E16-F16-G16-H16-I16-J16-K16</f>
        <v>0</v>
      </c>
      <c r="M16" s="12">
        <f>811409.7-E16-F16-G16-H16-I16-J16-K16-L16</f>
        <v>337110.11</v>
      </c>
      <c r="N16" s="85">
        <f>474299.59-E16-F16-G16-H16-I16-J16-K16-L16-M16</f>
        <v>-337110.11</v>
      </c>
      <c r="O16" s="17">
        <f>2516328.14-E16-F16-G16-H16-I16-J16-K16-L16-M16-N16</f>
        <v>2042028.5499999998</v>
      </c>
      <c r="P16" s="13"/>
    </row>
    <row r="17" spans="1:16" ht="63" x14ac:dyDescent="0.5">
      <c r="A17" s="11" t="s">
        <v>29</v>
      </c>
      <c r="B17" s="94">
        <v>90000</v>
      </c>
      <c r="C17" s="94">
        <v>11186680</v>
      </c>
      <c r="D17" s="7">
        <f t="shared" si="0"/>
        <v>7304269.1900000004</v>
      </c>
      <c r="E17" s="14">
        <v>0</v>
      </c>
      <c r="F17" s="14">
        <v>0</v>
      </c>
      <c r="G17" s="13">
        <f>1206010.59-E17-F17</f>
        <v>1206010.5900000001</v>
      </c>
      <c r="H17" s="8">
        <f>970010.59-E17-F17-G17</f>
        <v>-236000.00000000012</v>
      </c>
      <c r="I17" s="12">
        <f>2008410.59-E17-F17-G17-H17</f>
        <v>1038400.0000000001</v>
      </c>
      <c r="J17" s="8">
        <f>2120510.59-E17-F17-G17-H17-I17</f>
        <v>112099.99999999988</v>
      </c>
      <c r="K17" s="63">
        <f>2120510.59-E17-F17-G17-H17-I17-J17</f>
        <v>0</v>
      </c>
      <c r="L17" s="17">
        <f>3638210.59-E17-F17-G17-H17-I17-J17-K17</f>
        <v>1517700</v>
      </c>
      <c r="M17" s="12">
        <f>4295693.61-E17-F17-G17-H17-I17-J17-K17-L17</f>
        <v>657483.02000000048</v>
      </c>
      <c r="N17" s="85">
        <f>5411177.19-E17-F17-G17-H17-I17-J17-K17-L17-M17</f>
        <v>1115483.58</v>
      </c>
      <c r="O17" s="17">
        <f>7304269.19-E17-F17-G17-H17-I17-J17-K17-L17-M17-N17</f>
        <v>1893092</v>
      </c>
      <c r="P17" s="13"/>
    </row>
    <row r="18" spans="1:16" x14ac:dyDescent="0.5">
      <c r="A18" s="11" t="s">
        <v>92</v>
      </c>
      <c r="B18" s="94">
        <v>2500000</v>
      </c>
      <c r="C18" s="94">
        <v>5315680</v>
      </c>
      <c r="D18" s="7">
        <f t="shared" si="0"/>
        <v>4630692.1500000004</v>
      </c>
      <c r="E18" s="14">
        <v>0</v>
      </c>
      <c r="F18" s="14">
        <v>0</v>
      </c>
      <c r="G18" s="8">
        <f>560736.99-E18-F18</f>
        <v>560736.99</v>
      </c>
      <c r="H18" s="8">
        <f>873519.76-E18-F18-G18</f>
        <v>312782.77</v>
      </c>
      <c r="I18" s="17">
        <f>1110767.76-E18-F18-G18-H18</f>
        <v>237248</v>
      </c>
      <c r="J18" s="13">
        <f>1374193.99-E18-F18-G18-H18-I18</f>
        <v>263426.23</v>
      </c>
      <c r="K18" s="67">
        <f>1496267.59-E18-F18-G18-H18-I18-J18</f>
        <v>122073.60000000009</v>
      </c>
      <c r="L18" s="17">
        <f>1720812.15-E18-F18-G18-H18-I18-J18-K18</f>
        <v>224544.55999999982</v>
      </c>
      <c r="M18" s="12"/>
      <c r="N18" s="85">
        <f>2466012.15-E18-F18-G18-H18-I18-J18-K18-L18-M18</f>
        <v>745200</v>
      </c>
      <c r="O18" s="17">
        <f>4630692.15-E18-F18-G18-H18-I18-J18-K18-L18-M18-N18</f>
        <v>2164680</v>
      </c>
      <c r="P18" s="13"/>
    </row>
    <row r="19" spans="1:16" x14ac:dyDescent="0.5">
      <c r="A19" s="6" t="s">
        <v>30</v>
      </c>
      <c r="B19" s="93">
        <f>SUM(B20:B28)</f>
        <v>10558000</v>
      </c>
      <c r="C19" s="93">
        <f>SUM(C20:C28)</f>
        <v>11518958.74</v>
      </c>
      <c r="D19" s="76">
        <f>SUM(D20:D28)</f>
        <v>11251559.239999998</v>
      </c>
      <c r="E19" s="14">
        <v>0</v>
      </c>
      <c r="F19" s="14">
        <v>0</v>
      </c>
      <c r="K19" s="64"/>
      <c r="L19" s="9"/>
      <c r="M19" s="12"/>
      <c r="N19" s="85"/>
      <c r="O19" s="9"/>
    </row>
    <row r="20" spans="1:16" x14ac:dyDescent="0.5">
      <c r="A20" s="11" t="s">
        <v>31</v>
      </c>
      <c r="B20" s="94">
        <v>990000</v>
      </c>
      <c r="C20" s="94">
        <v>280350</v>
      </c>
      <c r="D20" s="7">
        <f>SUM(E20:P20)</f>
        <v>635345.28</v>
      </c>
      <c r="E20" s="14">
        <v>0</v>
      </c>
      <c r="F20" s="8">
        <f>28350-E20</f>
        <v>28350</v>
      </c>
      <c r="G20" s="8">
        <f>71654.52-E20-F20</f>
        <v>43304.520000000004</v>
      </c>
      <c r="H20" s="8">
        <f>193302.52-E20-F20-G20</f>
        <v>121647.99999999999</v>
      </c>
      <c r="I20" s="12">
        <f>224402.52-E20-F20-G20-H20</f>
        <v>31100.000000000015</v>
      </c>
      <c r="J20" s="8">
        <f>312692.44-E20-F20-G20-H20-I20</f>
        <v>88289.919999999984</v>
      </c>
      <c r="K20" s="63">
        <f>312692.44-E20-F20-G20-H20-I20-J20</f>
        <v>0</v>
      </c>
      <c r="L20" s="17">
        <f>344192.44-E20-F20-G20-H20-I20-J20-K20</f>
        <v>31499.999999999985</v>
      </c>
      <c r="M20" s="12">
        <f>549541.28-E20-F20-G20-H20-I20-J20-K20-L20</f>
        <v>205348.84000000003</v>
      </c>
      <c r="N20" s="85">
        <f>575401.28-E20-F20-G20-H20-I20-J20-K20-L20-M20</f>
        <v>25860</v>
      </c>
      <c r="O20" s="17">
        <f>635345.28-E20-F20-G20-H20-I20-J20-K20-L20-M20-N20</f>
        <v>59944</v>
      </c>
      <c r="P20" s="13"/>
    </row>
    <row r="21" spans="1:16" x14ac:dyDescent="0.5">
      <c r="A21" s="11" t="s">
        <v>32</v>
      </c>
      <c r="B21" s="94">
        <v>3000000</v>
      </c>
      <c r="C21" s="94">
        <v>-1798500</v>
      </c>
      <c r="D21" s="7">
        <f t="shared" ref="D21:D56" si="1">SUM(E21:P21)</f>
        <v>234454.2</v>
      </c>
      <c r="E21" s="14">
        <v>0</v>
      </c>
      <c r="F21" s="14">
        <v>0</v>
      </c>
      <c r="G21" s="13">
        <f>127074.2-E21-F21</f>
        <v>127074.2</v>
      </c>
      <c r="H21" s="13">
        <f>127074.2-E21-F21-G21</f>
        <v>0</v>
      </c>
      <c r="I21" s="17">
        <f>127074.2-E21-F21-G21-H21</f>
        <v>0</v>
      </c>
      <c r="J21" s="13">
        <f>127074.2-E21-F21-G21-H21-I21</f>
        <v>0</v>
      </c>
      <c r="K21" s="67">
        <f>234454.2-E21-F21-G21-H21-I21-J21</f>
        <v>107380.00000000001</v>
      </c>
      <c r="L21" s="80"/>
      <c r="M21" s="12">
        <f>234454.2-E21-F21-G21-H21-I21-J21-K21-L21</f>
        <v>0</v>
      </c>
      <c r="N21" s="85">
        <f>234454.2-E21-F21-G21-H21-I21-J21-K21-L21-M21</f>
        <v>0</v>
      </c>
      <c r="O21" s="80">
        <f>234454.2-E21-F21-G21-H21-I21-J21-K21-L21-M21-N21</f>
        <v>0</v>
      </c>
    </row>
    <row r="22" spans="1:16" x14ac:dyDescent="0.5">
      <c r="A22" s="11" t="s">
        <v>33</v>
      </c>
      <c r="B22" s="94">
        <v>888000</v>
      </c>
      <c r="C22" s="94">
        <v>3468000</v>
      </c>
      <c r="D22" s="7">
        <f>SUM(E22:P22)</f>
        <v>2116984.2599999998</v>
      </c>
      <c r="E22" s="14">
        <v>0</v>
      </c>
      <c r="F22" s="14">
        <v>0</v>
      </c>
      <c r="G22" s="8">
        <f>71895.58-E22-F22</f>
        <v>71895.58</v>
      </c>
      <c r="H22" s="8">
        <f>208321.28-E22-F22-G22</f>
        <v>136425.70000000001</v>
      </c>
      <c r="I22" s="12">
        <f>326911.28-E22-F22-G22-H22</f>
        <v>118590</v>
      </c>
      <c r="J22" s="8">
        <f>826411.18-E22-F22-G22-H22-I22</f>
        <v>499499.90000000014</v>
      </c>
      <c r="K22" s="63">
        <f>1382723.36-E22-F22-G22-H22-I22-J22</f>
        <v>556312.17999999993</v>
      </c>
      <c r="L22" s="17">
        <f>1569717.96-E22-F22-G22-H22-I22-J22-K22</f>
        <v>186994.59999999986</v>
      </c>
      <c r="M22" s="12">
        <f>958548.76-E22-F22-G22-H22-I22-J22-K22-L22</f>
        <v>-611169.19999999995</v>
      </c>
      <c r="N22" s="85">
        <f>1067256.26-E22-F22-G22-H22-I22-J22-K22-L22-M22</f>
        <v>108707.5</v>
      </c>
      <c r="O22" s="17">
        <f>2116984.26-E22-F22-G22-H22-I22-J22-K22-L22-M22-N22</f>
        <v>1049727.9999999998</v>
      </c>
      <c r="P22" s="13"/>
    </row>
    <row r="23" spans="1:16" x14ac:dyDescent="0.5">
      <c r="A23" s="11" t="s">
        <v>34</v>
      </c>
      <c r="B23" s="94">
        <v>0</v>
      </c>
      <c r="C23" s="94">
        <v>0</v>
      </c>
      <c r="D23" s="7">
        <f t="shared" si="1"/>
        <v>0</v>
      </c>
      <c r="E23" s="14">
        <v>0</v>
      </c>
      <c r="F23" s="14">
        <v>0</v>
      </c>
      <c r="G23" s="1">
        <v>0</v>
      </c>
      <c r="K23" s="64"/>
      <c r="L23" s="9"/>
      <c r="M23" s="12">
        <f>134970.08-E24-F24-G24-H24-I24-J24-K24-L24</f>
        <v>0</v>
      </c>
      <c r="N23" s="85"/>
      <c r="O23" s="17"/>
    </row>
    <row r="24" spans="1:16" x14ac:dyDescent="0.5">
      <c r="A24" s="11" t="s">
        <v>35</v>
      </c>
      <c r="B24" s="94">
        <v>0</v>
      </c>
      <c r="C24" s="94">
        <v>631134.80000000005</v>
      </c>
      <c r="D24" s="7">
        <f t="shared" si="1"/>
        <v>484970.07999999996</v>
      </c>
      <c r="E24" s="14">
        <v>0</v>
      </c>
      <c r="F24" s="14">
        <v>0</v>
      </c>
      <c r="G24" s="10">
        <f>0-E24-F24</f>
        <v>0</v>
      </c>
      <c r="H24" s="13">
        <f>12390-E24-F24-G24</f>
        <v>12390</v>
      </c>
      <c r="I24" s="17">
        <f>12390-E24-F24-G24-H24</f>
        <v>0</v>
      </c>
      <c r="J24" s="13">
        <f>134970.08-E24-F24-G24-H24-I24</f>
        <v>122580.07999999999</v>
      </c>
      <c r="K24" s="67">
        <f>134970.08-E24-F24-G24-H24-I24-J24</f>
        <v>0</v>
      </c>
      <c r="L24" s="17">
        <f>134970.08-E24-F24-G24-H24-I24-J24-K24</f>
        <v>0</v>
      </c>
      <c r="M24" s="12"/>
      <c r="N24" s="85">
        <f>134970.08-E24-F24-G24-H24-I24-J24-K24-L24-M24</f>
        <v>0</v>
      </c>
      <c r="O24" s="17">
        <f t="shared" ref="O24" si="2">484970.08-E24-F24-G24-H24-I24-J24-K24-L24-M24-N24</f>
        <v>350000</v>
      </c>
      <c r="P24" s="13"/>
    </row>
    <row r="25" spans="1:16" x14ac:dyDescent="0.5">
      <c r="A25" s="11" t="s">
        <v>36</v>
      </c>
      <c r="B25" s="94">
        <v>0</v>
      </c>
      <c r="C25" s="94">
        <v>347169.8</v>
      </c>
      <c r="D25" s="7">
        <f t="shared" si="1"/>
        <v>130871.25</v>
      </c>
      <c r="E25" s="14">
        <v>0</v>
      </c>
      <c r="F25" s="14">
        <v>0</v>
      </c>
      <c r="I25" s="71">
        <f>0-E25-F25-G25-H25</f>
        <v>0</v>
      </c>
      <c r="J25" s="44">
        <f>57820-E25-F25-G25-H25-I25</f>
        <v>57820</v>
      </c>
      <c r="K25" s="64"/>
      <c r="L25" s="9"/>
      <c r="M25" s="12">
        <f>57820-E25-F25-G25-H25-I25-J25-K25-L25</f>
        <v>0</v>
      </c>
      <c r="N25" s="85">
        <f>57820-E25-F25-G25-H25-I25-J25-K25-L25-M25</f>
        <v>0</v>
      </c>
      <c r="O25" s="17">
        <f>130871.25-E25-F25-G25-H25-I25-J25-K25-L25-M25-N25</f>
        <v>73051.25</v>
      </c>
      <c r="P25" s="13"/>
    </row>
    <row r="26" spans="1:16" ht="81.75" customHeight="1" x14ac:dyDescent="0.5">
      <c r="A26" s="11" t="s">
        <v>37</v>
      </c>
      <c r="B26" s="94">
        <v>3600000</v>
      </c>
      <c r="C26" s="94">
        <v>5818000</v>
      </c>
      <c r="D26" s="7">
        <f>E26+F26+G26+H26+I26+J26+K26+L26+M26+N26+O26+P26</f>
        <v>5879702.54</v>
      </c>
      <c r="E26" s="18">
        <v>0</v>
      </c>
      <c r="F26" s="14">
        <v>0</v>
      </c>
      <c r="G26" s="19">
        <f>1073000-E26-F26</f>
        <v>1073000</v>
      </c>
      <c r="H26" s="8">
        <f>1830000-E26-F26-G26</f>
        <v>757000</v>
      </c>
      <c r="I26" s="12">
        <f>2226000-E26-F26-G26-H26</f>
        <v>396000</v>
      </c>
      <c r="J26" s="20">
        <f>2622000-E26-F26-G26-H26-I26</f>
        <v>396000</v>
      </c>
      <c r="K26" s="63">
        <f>3596000-E26-F26-G26-H26-I26-J26</f>
        <v>974000</v>
      </c>
      <c r="L26" s="68">
        <f>4364000-E26-F26-G26-H26-I26-J26-K26</f>
        <v>768000</v>
      </c>
      <c r="M26" s="69">
        <f>4357447.45-E26-F26-G26-H26-I26-J26-K26-L26</f>
        <v>-6552.5499999998137</v>
      </c>
      <c r="N26" s="86">
        <f>5578667.2-E26-F26-G26-H26-I26-J26-K26-L26-M26</f>
        <v>1221219.75</v>
      </c>
      <c r="O26" s="17">
        <f>5879702.54-E26-F26-G26-H26-I26-J26-K26-L26-M26-N26</f>
        <v>301035.33999999985</v>
      </c>
      <c r="P26" s="21"/>
    </row>
    <row r="27" spans="1:16" s="22" customFormat="1" ht="63" x14ac:dyDescent="0.5">
      <c r="A27" s="11" t="s">
        <v>38</v>
      </c>
      <c r="B27" s="94">
        <v>0</v>
      </c>
      <c r="C27" s="94">
        <v>0</v>
      </c>
      <c r="D27" s="7">
        <f t="shared" si="1"/>
        <v>0</v>
      </c>
      <c r="E27" s="23">
        <v>0</v>
      </c>
      <c r="F27" s="14">
        <v>0</v>
      </c>
      <c r="I27" s="24"/>
      <c r="K27" s="70"/>
      <c r="L27" s="24"/>
      <c r="M27" s="69"/>
      <c r="N27" s="86"/>
      <c r="O27" s="17">
        <v>0</v>
      </c>
    </row>
    <row r="28" spans="1:16" x14ac:dyDescent="0.5">
      <c r="A28" s="11" t="s">
        <v>39</v>
      </c>
      <c r="B28" s="94">
        <v>2080000</v>
      </c>
      <c r="C28" s="94">
        <v>2772804.14</v>
      </c>
      <c r="D28" s="7">
        <f t="shared" si="1"/>
        <v>1769231.63</v>
      </c>
      <c r="E28" s="14">
        <v>0</v>
      </c>
      <c r="F28" s="14">
        <v>0</v>
      </c>
      <c r="G28" s="8">
        <f>349296.28-E28-F28</f>
        <v>349296.28</v>
      </c>
      <c r="H28" s="8">
        <f>349296.28-E28-F28-G28</f>
        <v>0</v>
      </c>
      <c r="I28" s="12">
        <f>603666.82-E28-F28-G28-H28</f>
        <v>254370.53999999992</v>
      </c>
      <c r="J28" s="8">
        <f>1108650.82-E28-F28-G28-H28-I28</f>
        <v>504984.00000000012</v>
      </c>
      <c r="K28" s="63">
        <f>1134579.85-E28-F28-G28-H28-I28-J28</f>
        <v>25929.030000000028</v>
      </c>
      <c r="L28" s="17">
        <f>1209579.11-E28-F28-G28-H28-I28-J28-K28</f>
        <v>74999.260000000009</v>
      </c>
      <c r="M28" s="12">
        <f>1397934.33-E28-F28-G28-H28-I28-J28-K28-L28</f>
        <v>188355.21999999997</v>
      </c>
      <c r="N28" s="85">
        <f>1397934.33-E28-F28-G28-H28-I28-J28-K28-L28-M28</f>
        <v>0</v>
      </c>
      <c r="O28" s="17">
        <f>1769231.63-E28-F28-G28-H28-I28-J28-K28-L28-M28-N28</f>
        <v>371297.29999999993</v>
      </c>
      <c r="P28" s="13"/>
    </row>
    <row r="29" spans="1:16" x14ac:dyDescent="0.5">
      <c r="A29" s="6" t="s">
        <v>40</v>
      </c>
      <c r="B29" s="95">
        <f>SUM(B30:B36)</f>
        <v>0</v>
      </c>
      <c r="C29" s="95">
        <f>SUM(C30:C36)</f>
        <v>0</v>
      </c>
      <c r="D29" s="76">
        <f>SUM(D30:D36)</f>
        <v>0</v>
      </c>
      <c r="E29" s="15"/>
      <c r="K29" s="64"/>
      <c r="L29" s="9"/>
      <c r="M29" s="12"/>
      <c r="N29" s="85"/>
      <c r="O29" s="9"/>
    </row>
    <row r="30" spans="1:16" x14ac:dyDescent="0.5">
      <c r="A30" s="11" t="s">
        <v>41</v>
      </c>
      <c r="B30" s="93">
        <v>0</v>
      </c>
      <c r="C30" s="93">
        <v>0</v>
      </c>
      <c r="D30" s="7">
        <f t="shared" si="1"/>
        <v>0</v>
      </c>
      <c r="E30" s="14">
        <v>0</v>
      </c>
      <c r="F30" s="14">
        <v>0</v>
      </c>
      <c r="K30" s="64"/>
      <c r="L30" s="9"/>
      <c r="M30" s="12"/>
      <c r="N30" s="85"/>
      <c r="O30" s="9"/>
    </row>
    <row r="31" spans="1:16" ht="63" x14ac:dyDescent="0.5">
      <c r="A31" s="11" t="s">
        <v>42</v>
      </c>
      <c r="B31" s="93">
        <v>0</v>
      </c>
      <c r="C31" s="93">
        <v>0</v>
      </c>
      <c r="D31" s="7">
        <f t="shared" si="1"/>
        <v>0</v>
      </c>
      <c r="E31" s="14">
        <v>0</v>
      </c>
      <c r="F31" s="14">
        <v>0</v>
      </c>
      <c r="K31" s="64"/>
      <c r="L31" s="9"/>
      <c r="M31" s="12"/>
      <c r="N31" s="85"/>
      <c r="O31" s="9"/>
    </row>
    <row r="32" spans="1:16" ht="63" x14ac:dyDescent="0.5">
      <c r="A32" s="11" t="s">
        <v>43</v>
      </c>
      <c r="B32" s="93">
        <v>0</v>
      </c>
      <c r="C32" s="93">
        <v>0</v>
      </c>
      <c r="D32" s="7">
        <f t="shared" si="1"/>
        <v>0</v>
      </c>
      <c r="E32" s="14">
        <v>0</v>
      </c>
      <c r="F32" s="14">
        <v>0</v>
      </c>
      <c r="K32" s="64"/>
      <c r="L32" s="9"/>
      <c r="M32" s="12"/>
      <c r="N32" s="85"/>
      <c r="O32" s="9"/>
    </row>
    <row r="33" spans="1:16" ht="63" x14ac:dyDescent="0.5">
      <c r="A33" s="11" t="s">
        <v>44</v>
      </c>
      <c r="B33" s="93">
        <v>0</v>
      </c>
      <c r="C33" s="93">
        <v>0</v>
      </c>
      <c r="D33" s="7">
        <f t="shared" si="1"/>
        <v>0</v>
      </c>
      <c r="E33" s="14">
        <v>0</v>
      </c>
      <c r="F33" s="14">
        <v>0</v>
      </c>
      <c r="K33" s="64"/>
      <c r="L33" s="9"/>
      <c r="M33" s="12"/>
      <c r="N33" s="85"/>
      <c r="O33" s="9"/>
    </row>
    <row r="34" spans="1:16" ht="63" x14ac:dyDescent="0.5">
      <c r="A34" s="11" t="s">
        <v>45</v>
      </c>
      <c r="B34" s="93">
        <v>0</v>
      </c>
      <c r="C34" s="93">
        <v>0</v>
      </c>
      <c r="D34" s="7">
        <f t="shared" si="1"/>
        <v>0</v>
      </c>
      <c r="E34" s="14">
        <v>0</v>
      </c>
      <c r="F34" s="14">
        <v>0</v>
      </c>
      <c r="K34" s="64"/>
      <c r="L34" s="9"/>
      <c r="M34" s="12"/>
      <c r="N34" s="85"/>
      <c r="O34" s="9"/>
    </row>
    <row r="35" spans="1:16" x14ac:dyDescent="0.5">
      <c r="A35" s="11" t="s">
        <v>46</v>
      </c>
      <c r="B35" s="93">
        <v>0</v>
      </c>
      <c r="C35" s="93">
        <v>0</v>
      </c>
      <c r="D35" s="7">
        <f t="shared" si="1"/>
        <v>0</v>
      </c>
      <c r="E35" s="14">
        <v>0</v>
      </c>
      <c r="F35" s="14">
        <v>0</v>
      </c>
      <c r="K35" s="64"/>
      <c r="L35" s="9"/>
      <c r="M35" s="12"/>
      <c r="N35" s="85"/>
      <c r="O35" s="9"/>
    </row>
    <row r="36" spans="1:16" ht="63" x14ac:dyDescent="0.5">
      <c r="A36" s="11" t="s">
        <v>47</v>
      </c>
      <c r="B36" s="93">
        <v>0</v>
      </c>
      <c r="C36" s="93">
        <v>0</v>
      </c>
      <c r="D36" s="7">
        <f t="shared" si="1"/>
        <v>0</v>
      </c>
      <c r="E36" s="14">
        <v>0</v>
      </c>
      <c r="F36" s="14">
        <v>0</v>
      </c>
      <c r="K36" s="64"/>
      <c r="L36" s="9"/>
      <c r="M36" s="12"/>
      <c r="N36" s="85"/>
      <c r="O36" s="9"/>
    </row>
    <row r="37" spans="1:16" x14ac:dyDescent="0.5">
      <c r="A37" s="6" t="s">
        <v>48</v>
      </c>
      <c r="B37" s="95">
        <f>SUM(B38:B44)</f>
        <v>0</v>
      </c>
      <c r="C37" s="95">
        <f>SUM(C38:C44)</f>
        <v>0</v>
      </c>
      <c r="D37" s="76">
        <f>SUM(D38:D44)</f>
        <v>0</v>
      </c>
      <c r="E37" s="15"/>
      <c r="K37" s="64"/>
      <c r="L37" s="9"/>
      <c r="M37" s="12"/>
      <c r="N37" s="85"/>
      <c r="O37" s="9"/>
    </row>
    <row r="38" spans="1:16" x14ac:dyDescent="0.5">
      <c r="A38" s="11" t="s">
        <v>49</v>
      </c>
      <c r="B38" s="93">
        <v>0</v>
      </c>
      <c r="C38" s="93">
        <v>0</v>
      </c>
      <c r="D38" s="7">
        <f t="shared" si="1"/>
        <v>0</v>
      </c>
      <c r="E38" s="14"/>
      <c r="K38" s="64"/>
      <c r="L38" s="9"/>
      <c r="M38" s="12"/>
      <c r="N38" s="85"/>
      <c r="O38" s="9"/>
    </row>
    <row r="39" spans="1:16" ht="63" x14ac:dyDescent="0.5">
      <c r="A39" s="11" t="s">
        <v>50</v>
      </c>
      <c r="B39" s="93">
        <v>0</v>
      </c>
      <c r="C39" s="93">
        <v>0</v>
      </c>
      <c r="D39" s="7">
        <f t="shared" si="1"/>
        <v>0</v>
      </c>
      <c r="E39" s="14"/>
      <c r="K39" s="64"/>
      <c r="L39" s="9"/>
      <c r="M39" s="12"/>
      <c r="N39" s="85"/>
      <c r="O39" s="9"/>
    </row>
    <row r="40" spans="1:16" ht="63" x14ac:dyDescent="0.5">
      <c r="A40" s="11" t="s">
        <v>51</v>
      </c>
      <c r="B40" s="93">
        <v>0</v>
      </c>
      <c r="C40" s="93">
        <v>0</v>
      </c>
      <c r="D40" s="7">
        <f t="shared" si="1"/>
        <v>0</v>
      </c>
      <c r="E40" s="14"/>
      <c r="K40" s="64"/>
      <c r="L40" s="9"/>
      <c r="M40" s="12"/>
      <c r="N40" s="85"/>
      <c r="O40" s="9"/>
    </row>
    <row r="41" spans="1:16" ht="63" x14ac:dyDescent="0.5">
      <c r="A41" s="11" t="s">
        <v>52</v>
      </c>
      <c r="B41" s="93">
        <v>0</v>
      </c>
      <c r="C41" s="93">
        <v>0</v>
      </c>
      <c r="D41" s="7">
        <f t="shared" si="1"/>
        <v>0</v>
      </c>
      <c r="E41" s="14"/>
      <c r="K41" s="64"/>
      <c r="L41" s="9"/>
      <c r="M41" s="12"/>
      <c r="N41" s="85"/>
      <c r="O41" s="9"/>
    </row>
    <row r="42" spans="1:16" ht="63" x14ac:dyDescent="0.5">
      <c r="A42" s="11" t="s">
        <v>53</v>
      </c>
      <c r="B42" s="93">
        <v>0</v>
      </c>
      <c r="C42" s="93">
        <v>0</v>
      </c>
      <c r="D42" s="7">
        <f t="shared" si="1"/>
        <v>0</v>
      </c>
      <c r="E42" s="14"/>
      <c r="K42" s="64"/>
      <c r="L42" s="9"/>
      <c r="M42" s="12"/>
      <c r="N42" s="85"/>
      <c r="O42" s="9"/>
    </row>
    <row r="43" spans="1:16" x14ac:dyDescent="0.5">
      <c r="A43" s="11" t="s">
        <v>54</v>
      </c>
      <c r="B43" s="93">
        <v>0</v>
      </c>
      <c r="C43" s="93">
        <v>0</v>
      </c>
      <c r="D43" s="7">
        <f t="shared" si="1"/>
        <v>0</v>
      </c>
      <c r="E43" s="14"/>
      <c r="K43" s="64"/>
      <c r="L43" s="9"/>
      <c r="M43" s="12"/>
      <c r="N43" s="85"/>
      <c r="O43" s="9"/>
    </row>
    <row r="44" spans="1:16" ht="63" x14ac:dyDescent="0.5">
      <c r="A44" s="11" t="s">
        <v>55</v>
      </c>
      <c r="B44" s="93">
        <v>0</v>
      </c>
      <c r="C44" s="93">
        <v>0</v>
      </c>
      <c r="D44" s="7">
        <f t="shared" si="1"/>
        <v>0</v>
      </c>
      <c r="E44" s="14"/>
      <c r="K44" s="64"/>
      <c r="L44" s="9"/>
      <c r="M44" s="12"/>
      <c r="N44" s="85"/>
      <c r="O44" s="9"/>
    </row>
    <row r="45" spans="1:16" x14ac:dyDescent="0.5">
      <c r="A45" s="6" t="s">
        <v>56</v>
      </c>
      <c r="B45" s="93">
        <f>SUM(B46:B54)</f>
        <v>13802107</v>
      </c>
      <c r="C45" s="93">
        <f>SUM(C46:C54)</f>
        <v>5134251.68</v>
      </c>
      <c r="D45" s="76">
        <f>SUM(D46:D54)</f>
        <v>2204674.92</v>
      </c>
      <c r="E45" s="15"/>
      <c r="K45" s="64"/>
      <c r="L45" s="9"/>
      <c r="M45" s="12"/>
      <c r="N45" s="85"/>
      <c r="O45" s="9"/>
    </row>
    <row r="46" spans="1:16" x14ac:dyDescent="0.5">
      <c r="A46" s="11" t="s">
        <v>57</v>
      </c>
      <c r="B46" s="94">
        <v>1300000</v>
      </c>
      <c r="C46" s="94">
        <v>186456.46</v>
      </c>
      <c r="D46" s="7">
        <f t="shared" si="1"/>
        <v>1276671</v>
      </c>
      <c r="E46" s="14">
        <v>0</v>
      </c>
      <c r="G46" s="8">
        <f>0-E46-F46</f>
        <v>0</v>
      </c>
      <c r="H46" s="8">
        <f>82473.85-E46-F46-G46</f>
        <v>82473.850000000006</v>
      </c>
      <c r="I46" s="12">
        <f>843925.66-E46-F46-G46-H46</f>
        <v>761451.81</v>
      </c>
      <c r="J46" s="8">
        <f>843925.66-E46-F46-G46-H46-I46</f>
        <v>0</v>
      </c>
      <c r="K46" s="63">
        <f>1063700.66-E46-F46-G46-H46-I46-J46</f>
        <v>219774.99999999988</v>
      </c>
      <c r="L46" s="17">
        <f>1063700.66-E46-F46-G46-H46-I46-J46-K46</f>
        <v>0</v>
      </c>
      <c r="M46" s="12">
        <f>1155456.46-E46-F46-G46-H46-I46-J46-K46-L46</f>
        <v>91755.79999999993</v>
      </c>
      <c r="N46" s="85">
        <f>1155456.46-E46-F46-G46-H46-I46-J46-K46-L46-M46</f>
        <v>0</v>
      </c>
      <c r="O46" s="17">
        <f>1276671-E46-F46-G46-H46-I46-J46-K46-L46-M46-N46</f>
        <v>121214.54000000004</v>
      </c>
      <c r="P46" s="13"/>
    </row>
    <row r="47" spans="1:16" x14ac:dyDescent="0.5">
      <c r="A47" s="11" t="s">
        <v>58</v>
      </c>
      <c r="B47" s="94">
        <v>0</v>
      </c>
      <c r="C47" s="94">
        <v>160000</v>
      </c>
      <c r="D47" s="7">
        <f t="shared" si="1"/>
        <v>152751</v>
      </c>
      <c r="E47" s="14">
        <v>0</v>
      </c>
      <c r="G47" s="44">
        <f>0-E47-F47</f>
        <v>0</v>
      </c>
      <c r="I47" s="71">
        <f>0-E47-F47-G47-H47</f>
        <v>0</v>
      </c>
      <c r="J47" s="1">
        <v>0</v>
      </c>
      <c r="K47" s="79">
        <f>152751-E47-F47-G47-H47-I47-J47</f>
        <v>152751</v>
      </c>
      <c r="L47" s="71">
        <f>152751-E47-F47-G47-H47-I47-J47-K47</f>
        <v>0</v>
      </c>
      <c r="M47" s="12">
        <f>152751-E47-F47-G47-H47-I47-J47-K47-L47</f>
        <v>0</v>
      </c>
      <c r="N47" s="85">
        <f>152751-E47-F47-G47-H47-I47-J47-K47-L47-M47</f>
        <v>0</v>
      </c>
      <c r="O47" s="17">
        <f>152751-E47-F47-G47-H47-I47-J47-K47-L47-M47-N47</f>
        <v>0</v>
      </c>
    </row>
    <row r="48" spans="1:16" x14ac:dyDescent="0.5">
      <c r="A48" s="11" t="s">
        <v>59</v>
      </c>
      <c r="B48" s="94">
        <v>0</v>
      </c>
      <c r="C48" s="94">
        <v>0</v>
      </c>
      <c r="D48" s="7">
        <f t="shared" si="1"/>
        <v>0</v>
      </c>
      <c r="E48" s="14">
        <v>0</v>
      </c>
      <c r="G48" s="44">
        <f>0-E48-F48</f>
        <v>0</v>
      </c>
      <c r="K48" s="64"/>
      <c r="L48" s="71"/>
      <c r="M48" s="12"/>
      <c r="N48" s="85"/>
      <c r="O48" s="17">
        <v>0</v>
      </c>
      <c r="P48" s="13"/>
    </row>
    <row r="49" spans="1:16" ht="63" x14ac:dyDescent="0.5">
      <c r="A49" s="11" t="s">
        <v>60</v>
      </c>
      <c r="B49" s="94">
        <v>4002107</v>
      </c>
      <c r="C49" s="94">
        <v>5673758.5999999996</v>
      </c>
      <c r="D49" s="7">
        <f t="shared" si="1"/>
        <v>0</v>
      </c>
      <c r="E49" s="14">
        <v>0</v>
      </c>
      <c r="G49" s="44">
        <f>0-E49-F49</f>
        <v>0</v>
      </c>
      <c r="H49" s="8">
        <f>0-E49-F49-G49</f>
        <v>0</v>
      </c>
      <c r="I49" s="12">
        <f>0-E49-F49-G49-H49</f>
        <v>0</v>
      </c>
      <c r="J49" s="8"/>
      <c r="K49" s="63"/>
      <c r="L49" s="17">
        <f>0-E49-F49-G49-H49-I49-J49-K49</f>
        <v>0</v>
      </c>
      <c r="M49" s="12"/>
      <c r="N49" s="85">
        <v>0</v>
      </c>
      <c r="O49" s="17">
        <f>0-E49-F49-G49-H49-I49-J49-K49-L49-M49-N49</f>
        <v>0</v>
      </c>
    </row>
    <row r="50" spans="1:16" x14ac:dyDescent="0.5">
      <c r="A50" s="11" t="s">
        <v>61</v>
      </c>
      <c r="B50" s="94">
        <v>0</v>
      </c>
      <c r="C50" s="94">
        <v>7089076.6200000001</v>
      </c>
      <c r="D50" s="7">
        <f t="shared" si="1"/>
        <v>775252.92</v>
      </c>
      <c r="E50" s="14">
        <v>0</v>
      </c>
      <c r="G50" s="44">
        <f>0-E50-F50</f>
        <v>0</v>
      </c>
      <c r="H50" s="8">
        <f>0-E50-F50-G50</f>
        <v>0</v>
      </c>
      <c r="I50" s="17">
        <f>0-E50-F50-G50-H50</f>
        <v>0</v>
      </c>
      <c r="J50" s="8">
        <f>79414-E50-F50-G50-H50-I50</f>
        <v>79414</v>
      </c>
      <c r="K50" s="63">
        <f>775252.92-E50-F50-G50-H50-I50-J50</f>
        <v>695838.92</v>
      </c>
      <c r="L50" s="17">
        <f>775252.92-E50-F50-G50-H50-I50-J50-K50</f>
        <v>0</v>
      </c>
      <c r="M50" s="12">
        <f>775252.92-E50-F50-G50-H50-I50-J50-K50-L50</f>
        <v>0</v>
      </c>
      <c r="N50" s="85">
        <f>775252.92-E50-F50-G50-H50-I50-J50-K50-L50-M50</f>
        <v>0</v>
      </c>
      <c r="O50" s="17">
        <f>775252.92-E50-F50-G50-H50-I50-J50-K50-L50-M50-N50</f>
        <v>0</v>
      </c>
      <c r="P50" s="13"/>
    </row>
    <row r="51" spans="1:16" x14ac:dyDescent="0.5">
      <c r="A51" s="11" t="s">
        <v>62</v>
      </c>
      <c r="B51" s="94">
        <v>0</v>
      </c>
      <c r="C51" s="94">
        <v>70000</v>
      </c>
      <c r="D51" s="7">
        <f t="shared" si="1"/>
        <v>0</v>
      </c>
      <c r="E51" s="14">
        <v>0</v>
      </c>
      <c r="K51" s="64"/>
      <c r="L51" s="9"/>
      <c r="M51" s="12"/>
      <c r="N51" s="85"/>
      <c r="O51" s="17">
        <v>0</v>
      </c>
    </row>
    <row r="52" spans="1:16" x14ac:dyDescent="0.5">
      <c r="A52" s="11" t="s">
        <v>63</v>
      </c>
      <c r="B52" s="94">
        <v>0</v>
      </c>
      <c r="C52" s="94">
        <v>0</v>
      </c>
      <c r="D52" s="7">
        <f t="shared" si="1"/>
        <v>0</v>
      </c>
      <c r="E52" s="14">
        <v>0</v>
      </c>
      <c r="K52" s="64"/>
      <c r="L52" s="9"/>
      <c r="M52" s="12"/>
      <c r="N52" s="85"/>
      <c r="O52" s="17">
        <v>0</v>
      </c>
    </row>
    <row r="53" spans="1:16" x14ac:dyDescent="0.5">
      <c r="A53" s="11" t="s">
        <v>64</v>
      </c>
      <c r="B53" s="94">
        <v>8500000</v>
      </c>
      <c r="C53" s="94">
        <v>-8045040</v>
      </c>
      <c r="D53" s="7">
        <f t="shared" si="1"/>
        <v>0</v>
      </c>
      <c r="E53" s="14">
        <v>0</v>
      </c>
      <c r="H53" s="44">
        <f>0-E53-F53-G53</f>
        <v>0</v>
      </c>
      <c r="I53" s="71">
        <f>0-E53-F53-G53-H53</f>
        <v>0</v>
      </c>
      <c r="K53" s="64"/>
      <c r="L53" s="9"/>
      <c r="M53" s="12"/>
      <c r="N53" s="85">
        <v>0</v>
      </c>
      <c r="O53" s="17">
        <v>0</v>
      </c>
      <c r="P53" s="13"/>
    </row>
    <row r="54" spans="1:16" ht="63" x14ac:dyDescent="0.5">
      <c r="A54" s="11" t="s">
        <v>65</v>
      </c>
      <c r="B54" s="94">
        <v>0</v>
      </c>
      <c r="C54" s="94">
        <v>0</v>
      </c>
      <c r="D54" s="8">
        <f t="shared" si="1"/>
        <v>0</v>
      </c>
      <c r="E54" s="14">
        <v>0</v>
      </c>
      <c r="K54" s="64"/>
      <c r="L54" s="9"/>
      <c r="M54" s="12"/>
      <c r="N54" s="85"/>
      <c r="O54" s="17">
        <v>0</v>
      </c>
    </row>
    <row r="55" spans="1:16" x14ac:dyDescent="0.5">
      <c r="A55" s="6" t="s">
        <v>66</v>
      </c>
      <c r="B55" s="93">
        <f>SUM(B56:B59)</f>
        <v>0</v>
      </c>
      <c r="C55" s="93">
        <f>SUM(C56:C59)</f>
        <v>0</v>
      </c>
      <c r="D55" s="29">
        <f>SUM(D56:D59)</f>
        <v>0</v>
      </c>
      <c r="E55" s="15"/>
      <c r="K55" s="64"/>
      <c r="L55" s="9"/>
      <c r="M55" s="12"/>
      <c r="N55" s="85"/>
      <c r="O55" s="17">
        <v>0</v>
      </c>
    </row>
    <row r="56" spans="1:16" x14ac:dyDescent="0.5">
      <c r="A56" s="11" t="s">
        <v>67</v>
      </c>
      <c r="B56" s="94">
        <v>0</v>
      </c>
      <c r="C56" s="94">
        <v>0</v>
      </c>
      <c r="D56" s="8">
        <f t="shared" si="1"/>
        <v>0</v>
      </c>
      <c r="E56" s="14"/>
      <c r="G56" s="44">
        <f>0-E56-F56</f>
        <v>0</v>
      </c>
      <c r="H56" s="13">
        <f>0-E56-F56-G56</f>
        <v>0</v>
      </c>
      <c r="I56" s="17">
        <f>0-E56-F56-G56-H56</f>
        <v>0</v>
      </c>
      <c r="J56" s="13">
        <v>0</v>
      </c>
      <c r="K56" s="64"/>
      <c r="L56" s="80">
        <f>0-E56-F56-G56-H56-I56-J56-K56</f>
        <v>0</v>
      </c>
      <c r="M56" s="12">
        <v>0</v>
      </c>
      <c r="N56" s="85">
        <v>0</v>
      </c>
      <c r="O56" s="17">
        <v>0</v>
      </c>
    </row>
    <row r="57" spans="1:16" x14ac:dyDescent="0.5">
      <c r="A57" s="11" t="s">
        <v>68</v>
      </c>
      <c r="B57" s="94"/>
      <c r="C57" s="94"/>
      <c r="E57" s="14"/>
      <c r="K57" s="64"/>
      <c r="L57" s="9"/>
      <c r="M57" s="12"/>
      <c r="N57" s="85"/>
      <c r="O57" s="9"/>
    </row>
    <row r="58" spans="1:16" x14ac:dyDescent="0.5">
      <c r="A58" s="11" t="s">
        <v>69</v>
      </c>
      <c r="B58" s="94"/>
      <c r="C58" s="94"/>
      <c r="E58" s="14"/>
      <c r="K58" s="64"/>
      <c r="L58" s="9"/>
      <c r="M58" s="12"/>
      <c r="N58" s="85"/>
      <c r="O58" s="9"/>
    </row>
    <row r="59" spans="1:16" ht="63" x14ac:dyDescent="0.5">
      <c r="A59" s="11" t="s">
        <v>70</v>
      </c>
      <c r="B59" s="94"/>
      <c r="C59" s="94"/>
      <c r="E59" s="14"/>
      <c r="K59" s="64"/>
      <c r="L59" s="9"/>
      <c r="M59" s="12"/>
      <c r="N59" s="85"/>
      <c r="O59" s="9"/>
    </row>
    <row r="60" spans="1:16" ht="63" x14ac:dyDescent="0.5">
      <c r="A60" s="6" t="s">
        <v>71</v>
      </c>
      <c r="B60" s="93"/>
      <c r="C60" s="93"/>
      <c r="D60" s="29">
        <f>SUM(D61:D62)</f>
        <v>0</v>
      </c>
      <c r="E60" s="15"/>
      <c r="K60" s="64"/>
      <c r="L60" s="9"/>
      <c r="M60" s="12"/>
      <c r="N60" s="85"/>
      <c r="O60" s="9"/>
    </row>
    <row r="61" spans="1:16" x14ac:dyDescent="0.5">
      <c r="A61" s="11" t="s">
        <v>72</v>
      </c>
      <c r="B61" s="94"/>
      <c r="C61" s="94"/>
      <c r="E61" s="14"/>
      <c r="K61" s="64"/>
      <c r="L61" s="9"/>
      <c r="M61" s="12"/>
      <c r="N61" s="85"/>
      <c r="O61" s="9"/>
    </row>
    <row r="62" spans="1:16" ht="63" x14ac:dyDescent="0.5">
      <c r="A62" s="11" t="s">
        <v>73</v>
      </c>
      <c r="B62" s="94"/>
      <c r="C62" s="94"/>
      <c r="E62" s="14"/>
      <c r="K62" s="64"/>
      <c r="L62" s="9"/>
      <c r="M62" s="12"/>
      <c r="N62" s="85"/>
      <c r="O62" s="9"/>
    </row>
    <row r="63" spans="1:16" x14ac:dyDescent="0.5">
      <c r="A63" s="6" t="s">
        <v>74</v>
      </c>
      <c r="B63" s="93"/>
      <c r="C63" s="93"/>
      <c r="D63" s="29">
        <f>SUM(D64:D66)</f>
        <v>0</v>
      </c>
      <c r="E63" s="15"/>
      <c r="K63" s="64"/>
      <c r="L63" s="9"/>
      <c r="M63" s="12"/>
      <c r="N63" s="85"/>
      <c r="O63" s="9"/>
    </row>
    <row r="64" spans="1:16" x14ac:dyDescent="0.5">
      <c r="A64" s="11" t="s">
        <v>75</v>
      </c>
      <c r="B64" s="94"/>
      <c r="C64" s="94"/>
      <c r="E64" s="14"/>
      <c r="K64" s="64"/>
      <c r="L64" s="9"/>
      <c r="M64" s="12"/>
      <c r="N64" s="85"/>
      <c r="O64" s="9"/>
      <c r="P64" s="8"/>
    </row>
    <row r="65" spans="1:16" x14ac:dyDescent="0.5">
      <c r="A65" s="11" t="s">
        <v>76</v>
      </c>
      <c r="B65" s="94"/>
      <c r="C65" s="94"/>
      <c r="E65" s="14"/>
      <c r="K65" s="64"/>
      <c r="L65" s="9"/>
      <c r="M65" s="12"/>
      <c r="N65" s="85"/>
      <c r="O65" s="9"/>
    </row>
    <row r="66" spans="1:16" ht="63" x14ac:dyDescent="0.5">
      <c r="A66" s="11" t="s">
        <v>77</v>
      </c>
      <c r="B66" s="94"/>
      <c r="C66" s="94"/>
      <c r="E66" s="14"/>
      <c r="K66" s="64"/>
      <c r="L66" s="9"/>
      <c r="M66" s="12"/>
      <c r="N66" s="85"/>
      <c r="O66" s="9"/>
    </row>
    <row r="67" spans="1:16" s="9" customFormat="1" ht="46.5" x14ac:dyDescent="0.5">
      <c r="A67" s="54" t="s">
        <v>78</v>
      </c>
      <c r="B67" s="96">
        <f>B3+B9+B19+B45+B55</f>
        <v>274758122</v>
      </c>
      <c r="C67" s="96">
        <f>C3+C9+C19+C45+C55</f>
        <v>38667634.039999999</v>
      </c>
      <c r="D67" s="42">
        <f>D3+D9+D19+D45</f>
        <v>242248688.89000005</v>
      </c>
      <c r="E67" s="34">
        <f t="shared" ref="E67:J67" si="3">SUM(E4:E66)</f>
        <v>14197672.819999998</v>
      </c>
      <c r="F67" s="34">
        <f t="shared" si="3"/>
        <v>14200364.84</v>
      </c>
      <c r="G67" s="25">
        <f t="shared" si="3"/>
        <v>19602428.580000002</v>
      </c>
      <c r="H67" s="25">
        <f t="shared" si="3"/>
        <v>18599123.629999995</v>
      </c>
      <c r="I67" s="25">
        <f t="shared" si="3"/>
        <v>20098699.029999997</v>
      </c>
      <c r="J67" s="25">
        <f t="shared" si="3"/>
        <v>12994795.080000006</v>
      </c>
      <c r="K67" s="35">
        <f>99693083.98-D67</f>
        <v>-142555604.91000003</v>
      </c>
      <c r="L67" s="25">
        <f t="shared" ref="L67:P67" si="4">SUM(L4:L66)</f>
        <v>39244449.850000001</v>
      </c>
      <c r="M67" s="36">
        <f t="shared" si="4"/>
        <v>18205376.210000012</v>
      </c>
      <c r="N67" s="87">
        <f t="shared" si="4"/>
        <v>19775422.010000005</v>
      </c>
      <c r="O67" s="36">
        <f t="shared" si="4"/>
        <v>40567430.930000015</v>
      </c>
      <c r="P67" s="25">
        <f t="shared" si="4"/>
        <v>0</v>
      </c>
    </row>
    <row r="68" spans="1:16" x14ac:dyDescent="0.5">
      <c r="A68" s="11"/>
      <c r="B68" s="11"/>
      <c r="C68" s="11"/>
      <c r="E68" s="14"/>
      <c r="K68" s="9"/>
      <c r="L68" s="9"/>
      <c r="M68" s="12"/>
      <c r="N68" s="85"/>
      <c r="O68" s="9"/>
    </row>
    <row r="69" spans="1:16" x14ac:dyDescent="0.5">
      <c r="A69" s="2" t="s">
        <v>79</v>
      </c>
      <c r="B69" s="2"/>
      <c r="C69" s="2"/>
      <c r="D69" s="26"/>
      <c r="E69" s="27"/>
      <c r="F69" s="27"/>
      <c r="G69" s="27"/>
      <c r="H69" s="27"/>
      <c r="I69" s="28"/>
      <c r="J69" s="27"/>
      <c r="K69" s="28"/>
      <c r="L69" s="28"/>
      <c r="M69" s="74"/>
      <c r="N69" s="88"/>
      <c r="O69" s="28"/>
      <c r="P69" s="27"/>
    </row>
    <row r="70" spans="1:16" x14ac:dyDescent="0.5">
      <c r="A70" s="6" t="s">
        <v>80</v>
      </c>
      <c r="B70" s="6"/>
      <c r="C70" s="6"/>
      <c r="D70" s="29">
        <f>D71+D72</f>
        <v>0</v>
      </c>
      <c r="E70" s="15"/>
      <c r="J70" s="13">
        <f>J71+J72</f>
        <v>0</v>
      </c>
      <c r="K70" s="17"/>
      <c r="L70" s="9"/>
      <c r="M70" s="12"/>
      <c r="N70" s="85"/>
      <c r="O70" s="9"/>
    </row>
    <row r="71" spans="1:16" x14ac:dyDescent="0.5">
      <c r="A71" s="11" t="s">
        <v>81</v>
      </c>
      <c r="B71" s="11"/>
      <c r="C71" s="11"/>
      <c r="E71" s="14">
        <v>0</v>
      </c>
      <c r="F71" s="14">
        <v>0</v>
      </c>
      <c r="H71" s="8">
        <f>48000466.24-D67</f>
        <v>-194248222.65000004</v>
      </c>
      <c r="K71" s="9"/>
      <c r="L71" s="17">
        <f>L67-16040588.28</f>
        <v>23203861.57</v>
      </c>
      <c r="M71" s="12">
        <f>M67-1205490.42</f>
        <v>16999885.790000014</v>
      </c>
      <c r="N71" s="85">
        <f>N67-22004361.39</f>
        <v>-2228939.3799999952</v>
      </c>
      <c r="O71" s="9"/>
    </row>
    <row r="72" spans="1:16" x14ac:dyDescent="0.5">
      <c r="A72" s="11" t="s">
        <v>82</v>
      </c>
      <c r="B72" s="11"/>
      <c r="C72" s="11"/>
      <c r="E72" s="14">
        <v>0</v>
      </c>
      <c r="F72" s="14">
        <v>0</v>
      </c>
      <c r="J72" s="13"/>
      <c r="K72" s="9"/>
      <c r="L72" s="9"/>
      <c r="M72" s="12"/>
      <c r="N72" s="85"/>
      <c r="O72" s="9"/>
    </row>
    <row r="73" spans="1:16" x14ac:dyDescent="0.5">
      <c r="A73" s="6" t="s">
        <v>83</v>
      </c>
      <c r="B73" s="6"/>
      <c r="C73" s="6"/>
      <c r="D73" s="29">
        <f>D74+D75</f>
        <v>0</v>
      </c>
      <c r="E73" s="15"/>
      <c r="K73" s="9"/>
      <c r="L73" s="9"/>
      <c r="M73" s="12"/>
      <c r="N73" s="85"/>
      <c r="O73" s="9"/>
    </row>
    <row r="74" spans="1:16" x14ac:dyDescent="0.5">
      <c r="A74" s="11" t="s">
        <v>84</v>
      </c>
      <c r="B74" s="11"/>
      <c r="C74" s="11"/>
      <c r="D74" s="7">
        <f>SUM(E74:P74)</f>
        <v>0</v>
      </c>
      <c r="E74" s="14">
        <v>0</v>
      </c>
      <c r="F74" s="14">
        <v>0</v>
      </c>
      <c r="G74" s="13"/>
      <c r="H74" s="10"/>
      <c r="I74" s="17"/>
      <c r="J74" s="13"/>
      <c r="K74" s="17"/>
      <c r="L74" s="17"/>
      <c r="M74" s="12"/>
      <c r="N74" s="85"/>
      <c r="O74" s="17"/>
    </row>
    <row r="75" spans="1:16" x14ac:dyDescent="0.5">
      <c r="A75" s="11" t="s">
        <v>85</v>
      </c>
      <c r="B75" s="11"/>
      <c r="C75" s="11"/>
      <c r="E75" s="14">
        <v>0</v>
      </c>
      <c r="F75" s="14">
        <v>0</v>
      </c>
      <c r="K75" s="9"/>
      <c r="L75" s="9"/>
      <c r="M75" s="12"/>
      <c r="N75" s="85"/>
      <c r="O75" s="9"/>
    </row>
    <row r="76" spans="1:16" x14ac:dyDescent="0.5">
      <c r="A76" s="6" t="s">
        <v>86</v>
      </c>
      <c r="B76" s="6"/>
      <c r="C76" s="6"/>
      <c r="D76" s="29">
        <f>D77</f>
        <v>0</v>
      </c>
      <c r="E76" s="15"/>
      <c r="F76" s="8"/>
      <c r="K76" s="9"/>
      <c r="L76" s="9"/>
      <c r="M76" s="12"/>
      <c r="N76" s="85"/>
      <c r="O76" s="9"/>
    </row>
    <row r="77" spans="1:16" x14ac:dyDescent="0.5">
      <c r="A77" s="11" t="s">
        <v>87</v>
      </c>
      <c r="B77" s="11"/>
      <c r="C77" s="11"/>
      <c r="E77" s="14">
        <v>0</v>
      </c>
      <c r="F77" s="14">
        <v>0</v>
      </c>
      <c r="K77" s="9"/>
      <c r="L77" s="9"/>
      <c r="M77" s="12"/>
      <c r="N77" s="85"/>
      <c r="O77" s="9"/>
    </row>
    <row r="78" spans="1:16" s="9" customFormat="1" x14ac:dyDescent="0.5">
      <c r="A78" s="33" t="s">
        <v>88</v>
      </c>
      <c r="B78" s="33"/>
      <c r="C78" s="33"/>
      <c r="D78" s="43">
        <f>D70+D73+D76</f>
        <v>0</v>
      </c>
      <c r="E78" s="25"/>
      <c r="G78" s="25"/>
      <c r="H78" s="34">
        <f>SUM(H69:H77)</f>
        <v>-194248222.65000004</v>
      </c>
      <c r="I78" s="34">
        <f>SUM(I69:I77)</f>
        <v>0</v>
      </c>
      <c r="J78" s="25"/>
      <c r="K78" s="25"/>
      <c r="L78" s="25"/>
      <c r="M78" s="36"/>
      <c r="N78" s="87"/>
      <c r="O78" s="25"/>
      <c r="P78" s="25"/>
    </row>
    <row r="79" spans="1:16" x14ac:dyDescent="0.5">
      <c r="A79" s="47"/>
      <c r="B79" s="47"/>
      <c r="C79" s="47"/>
      <c r="K79" s="9"/>
      <c r="L79" s="9"/>
      <c r="M79" s="12"/>
      <c r="N79" s="85"/>
      <c r="O79" s="9"/>
    </row>
    <row r="80" spans="1:16" s="9" customFormat="1" x14ac:dyDescent="0.5">
      <c r="A80" s="33" t="s">
        <v>89</v>
      </c>
      <c r="B80" s="92"/>
      <c r="C80" s="92"/>
      <c r="D80" s="37">
        <f t="shared" ref="D80:I80" si="5">SUM(D78,D67)</f>
        <v>242248688.89000005</v>
      </c>
      <c r="E80" s="38">
        <f t="shared" si="5"/>
        <v>14197672.819999998</v>
      </c>
      <c r="F80" s="38">
        <f t="shared" si="5"/>
        <v>14200364.84</v>
      </c>
      <c r="G80" s="39">
        <f t="shared" si="5"/>
        <v>19602428.580000002</v>
      </c>
      <c r="H80" s="39">
        <f t="shared" si="5"/>
        <v>-175649099.02000004</v>
      </c>
      <c r="I80" s="39">
        <f t="shared" si="5"/>
        <v>20098699.029999997</v>
      </c>
      <c r="J80" s="35">
        <f t="shared" ref="J80:P80" si="6">SUM(J78,J67)</f>
        <v>12994795.080000006</v>
      </c>
      <c r="K80" s="35">
        <f t="shared" si="6"/>
        <v>-142555604.91000003</v>
      </c>
      <c r="L80" s="35">
        <f t="shared" si="6"/>
        <v>39244449.850000001</v>
      </c>
      <c r="M80" s="37">
        <f t="shared" si="6"/>
        <v>18205376.210000012</v>
      </c>
      <c r="N80" s="89">
        <f t="shared" si="6"/>
        <v>19775422.010000005</v>
      </c>
      <c r="O80" s="37">
        <f t="shared" si="6"/>
        <v>40567430.930000015</v>
      </c>
      <c r="P80" s="35">
        <f t="shared" si="6"/>
        <v>0</v>
      </c>
    </row>
    <row r="81" spans="1:15" x14ac:dyDescent="0.5">
      <c r="K81" s="9"/>
      <c r="L81" s="9"/>
      <c r="M81" s="12"/>
      <c r="N81" s="85"/>
      <c r="O81" s="9"/>
    </row>
    <row r="82" spans="1:15" x14ac:dyDescent="0.5">
      <c r="K82" s="9"/>
      <c r="L82" s="9"/>
      <c r="M82" s="12"/>
      <c r="N82" s="85"/>
      <c r="O82" s="9"/>
    </row>
    <row r="83" spans="1:15" x14ac:dyDescent="0.5">
      <c r="D83" s="8">
        <f>163700459.74-D80</f>
        <v>-78548229.150000036</v>
      </c>
      <c r="K83" s="9"/>
      <c r="L83" s="9"/>
      <c r="M83" s="12"/>
      <c r="N83" s="85"/>
      <c r="O83" s="9"/>
    </row>
    <row r="84" spans="1:15" x14ac:dyDescent="0.5">
      <c r="K84" s="9"/>
      <c r="L84" s="9"/>
      <c r="M84" s="12"/>
      <c r="N84" s="85"/>
      <c r="O84" s="9"/>
    </row>
    <row r="85" spans="1:15" x14ac:dyDescent="0.5">
      <c r="K85" s="9"/>
      <c r="L85" s="9"/>
      <c r="M85" s="12"/>
      <c r="N85" s="85"/>
      <c r="O85" s="9"/>
    </row>
    <row r="86" spans="1:15" x14ac:dyDescent="0.5">
      <c r="K86" s="9"/>
      <c r="L86" s="9"/>
      <c r="M86" s="12"/>
      <c r="N86" s="85"/>
      <c r="O86" s="9"/>
    </row>
    <row r="87" spans="1:15" x14ac:dyDescent="0.5">
      <c r="K87" s="9"/>
      <c r="L87" s="9"/>
      <c r="M87" s="12"/>
      <c r="N87" s="85"/>
      <c r="O87" s="9"/>
    </row>
    <row r="88" spans="1:15" ht="139.5" x14ac:dyDescent="0.7">
      <c r="A88" s="81" t="s">
        <v>90</v>
      </c>
      <c r="B88" s="81"/>
      <c r="C88" s="81"/>
      <c r="D88" s="52"/>
      <c r="E88" s="50"/>
      <c r="F88" s="50"/>
      <c r="G88" s="50"/>
      <c r="K88" s="9"/>
      <c r="L88" s="9"/>
      <c r="M88" s="12"/>
      <c r="N88" s="85"/>
      <c r="O88" s="9"/>
    </row>
    <row r="89" spans="1:15" ht="46.5" x14ac:dyDescent="0.7">
      <c r="D89" s="51"/>
      <c r="E89" s="52"/>
      <c r="F89" s="50"/>
      <c r="G89" s="50"/>
      <c r="K89" s="9"/>
      <c r="L89" s="9"/>
      <c r="M89" s="12"/>
      <c r="N89" s="85"/>
      <c r="O89" s="9"/>
    </row>
    <row r="90" spans="1:15" ht="46.5" x14ac:dyDescent="0.7">
      <c r="A90" s="98" t="s">
        <v>94</v>
      </c>
      <c r="B90" s="98"/>
      <c r="C90" s="98"/>
      <c r="D90" s="98"/>
      <c r="E90" s="98"/>
      <c r="F90" s="77"/>
      <c r="G90" s="50"/>
      <c r="K90" s="9"/>
      <c r="L90" s="9"/>
      <c r="M90" s="12"/>
      <c r="N90" s="85"/>
      <c r="O90" s="9"/>
    </row>
    <row r="91" spans="1:15" ht="46.5" x14ac:dyDescent="0.7">
      <c r="A91" s="98" t="s">
        <v>91</v>
      </c>
      <c r="B91" s="98"/>
      <c r="C91" s="98"/>
      <c r="D91" s="98"/>
      <c r="E91" s="98"/>
      <c r="F91" s="78"/>
      <c r="G91" s="50"/>
      <c r="K91" s="9"/>
      <c r="L91" s="9"/>
      <c r="M91" s="12"/>
      <c r="N91" s="85"/>
      <c r="O91" s="9"/>
    </row>
    <row r="92" spans="1:15" x14ac:dyDescent="0.5">
      <c r="K92" s="9"/>
      <c r="L92" s="9"/>
      <c r="M92" s="12"/>
      <c r="N92" s="85"/>
      <c r="O92" s="9"/>
    </row>
    <row r="93" spans="1:15" x14ac:dyDescent="0.5">
      <c r="K93" s="9"/>
      <c r="L93" s="9"/>
      <c r="M93" s="12"/>
      <c r="N93" s="85"/>
      <c r="O93" s="9"/>
    </row>
    <row r="102" spans="1:14" ht="46.5" x14ac:dyDescent="0.7">
      <c r="A102" s="48"/>
      <c r="B102" s="48"/>
      <c r="C102" s="48"/>
      <c r="D102" s="49"/>
      <c r="E102" s="50"/>
      <c r="F102" s="50"/>
      <c r="G102" s="50"/>
      <c r="H102" s="50"/>
    </row>
    <row r="103" spans="1:14" ht="46.5" x14ac:dyDescent="0.7">
      <c r="A103" s="48"/>
      <c r="B103" s="48"/>
      <c r="C103" s="48"/>
      <c r="D103" s="51" t="s">
        <v>90</v>
      </c>
      <c r="E103" s="52"/>
      <c r="F103" s="50"/>
      <c r="G103" s="50"/>
      <c r="H103" s="50"/>
      <c r="J103" s="13"/>
    </row>
    <row r="104" spans="1:14" ht="46.5" x14ac:dyDescent="0.7">
      <c r="A104" s="48"/>
      <c r="B104" s="48"/>
      <c r="C104" s="48"/>
      <c r="D104" s="51"/>
      <c r="E104" s="52"/>
      <c r="F104" s="50"/>
      <c r="G104" s="50"/>
      <c r="H104" s="50"/>
      <c r="J104" s="13"/>
    </row>
    <row r="105" spans="1:14" ht="51" x14ac:dyDescent="0.75">
      <c r="A105" s="48"/>
      <c r="B105" s="48"/>
      <c r="C105" s="48"/>
      <c r="D105" s="53" t="s">
        <v>93</v>
      </c>
      <c r="E105" s="52"/>
      <c r="F105" s="50"/>
      <c r="G105" s="50"/>
      <c r="H105" s="50"/>
    </row>
    <row r="106" spans="1:14" ht="46.5" x14ac:dyDescent="0.7">
      <c r="A106" s="48"/>
      <c r="B106" s="48"/>
      <c r="C106" s="48"/>
      <c r="D106" s="51" t="s">
        <v>91</v>
      </c>
      <c r="E106" s="52"/>
      <c r="F106" s="50"/>
      <c r="G106" s="50"/>
      <c r="H106" s="50"/>
    </row>
    <row r="107" spans="1:14" ht="33.75" x14ac:dyDescent="0.5">
      <c r="D107" s="46"/>
      <c r="E107" s="45"/>
      <c r="F107" s="45"/>
      <c r="G107" s="45"/>
    </row>
    <row r="108" spans="1:14" x14ac:dyDescent="0.5">
      <c r="J108" s="13">
        <f>D80-81234027.92</f>
        <v>161014660.97000003</v>
      </c>
    </row>
    <row r="109" spans="1:14" x14ac:dyDescent="0.5">
      <c r="D109" s="8">
        <f>D80-158182464.6</f>
        <v>84066224.290000051</v>
      </c>
      <c r="E109" s="8">
        <f>D80-158036473.82</f>
        <v>84212215.070000052</v>
      </c>
      <c r="N109" s="91">
        <f>N80-17012173.68</f>
        <v>2763248.3300000057</v>
      </c>
    </row>
    <row r="110" spans="1:14" x14ac:dyDescent="0.5">
      <c r="A110" s="41"/>
      <c r="B110" s="41"/>
      <c r="C110" s="41"/>
    </row>
    <row r="111" spans="1:14" x14ac:dyDescent="0.5">
      <c r="D111" s="8">
        <f>D80-175255388.5</f>
        <v>66993300.390000045</v>
      </c>
      <c r="G111" s="8">
        <f>D80-175255388.5</f>
        <v>66993300.390000045</v>
      </c>
    </row>
    <row r="113" spans="4:8" x14ac:dyDescent="0.5">
      <c r="D113" s="8">
        <f>D80-205409195.41</f>
        <v>36839493.480000049</v>
      </c>
    </row>
    <row r="114" spans="4:8" x14ac:dyDescent="0.5">
      <c r="H114" s="8">
        <f>D80-175255388.5</f>
        <v>66993300.390000045</v>
      </c>
    </row>
    <row r="116" spans="4:8" x14ac:dyDescent="0.5">
      <c r="E116" s="13">
        <f>122442431.78-D80</f>
        <v>-119806257.11000004</v>
      </c>
    </row>
  </sheetData>
  <mergeCells count="2">
    <mergeCell ref="A90:E90"/>
    <mergeCell ref="A91:E91"/>
  </mergeCells>
  <pageMargins left="0" right="0" top="1.1023622047244099" bottom="0.55118110236220497" header="0.31496062992126" footer="0.31496062992126"/>
  <pageSetup paperSize="5" scale="23" orientation="landscape" r:id="rId1"/>
  <headerFooter>
    <oddHeader>&amp;C&amp;"-,Negrita"&amp;26INSTITUTO DE DESARROLLO Y CREDITO COOPERATIVO(IDECOOP)&amp;"-,Normal"&amp;"-,Negrita"DIRECCION FINANCIERAEJECUCION &amp;28PRESUPUESTARIA 2021</oddHeader>
    <oddFooter>&amp;L&amp;8&amp;F&amp;C&amp;8Pág. &amp;P de &amp;N&amp;R&amp;8&amp;D-&amp;T</oddFooter>
  </headerFooter>
  <rowBreaks count="1" manualBreakCount="1">
    <brk id="59" max="12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Presup. Acumulada 2021</vt:lpstr>
      <vt:lpstr>'Ejec. Presup. Acumulada 2021'!Área_de_impresión</vt:lpstr>
      <vt:lpstr>'Ejec. Presup. Acumulada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ElibrazO</cp:lastModifiedBy>
  <cp:lastPrinted>2021-12-13T15:07:49Z</cp:lastPrinted>
  <dcterms:created xsi:type="dcterms:W3CDTF">2017-12-09T22:11:36Z</dcterms:created>
  <dcterms:modified xsi:type="dcterms:W3CDTF">2021-12-13T19:56:50Z</dcterms:modified>
</cp:coreProperties>
</file>