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j.mercado\Desktop\"/>
    </mc:Choice>
  </mc:AlternateContent>
  <bookViews>
    <workbookView xWindow="0" yWindow="0" windowWidth="24000" windowHeight="9630"/>
  </bookViews>
  <sheets>
    <sheet name="Ejec. Presup. Acumulada 2021" sheetId="1" r:id="rId1"/>
  </sheets>
  <definedNames>
    <definedName name="_xlnm.Print_Area" localSheetId="0">'Ejec. Presup. Acumulada 2021'!$A$1:$I$91</definedName>
    <definedName name="_xlnm.Print_Titles" localSheetId="0">'Ejec. Presup. Acumulada 2021'!$1:$1</definedName>
  </definedName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E6" i="1" l="1"/>
  <c r="G25" i="1" l="1"/>
  <c r="H25" i="1" l="1"/>
  <c r="K25" i="1" s="1"/>
  <c r="F53" i="1"/>
  <c r="G53" i="1" s="1"/>
  <c r="E56" i="1" l="1"/>
  <c r="E50" i="1"/>
  <c r="E49" i="1"/>
  <c r="E48" i="1"/>
  <c r="E47" i="1"/>
  <c r="E46" i="1"/>
  <c r="E28" i="1"/>
  <c r="E26" i="1"/>
  <c r="E24" i="1"/>
  <c r="E22" i="1"/>
  <c r="E21" i="1"/>
  <c r="E18" i="1"/>
  <c r="E16" i="1"/>
  <c r="E14" i="1"/>
  <c r="E13" i="1"/>
  <c r="E12" i="1"/>
  <c r="E11" i="1"/>
  <c r="E7" i="1"/>
  <c r="B7" i="1" s="1"/>
  <c r="G47" i="1" l="1"/>
  <c r="I47" i="1" s="1"/>
  <c r="F46" i="1"/>
  <c r="G46" i="1" s="1"/>
  <c r="F56" i="1"/>
  <c r="F13" i="1"/>
  <c r="G13" i="1" s="1"/>
  <c r="F22" i="1"/>
  <c r="G22" i="1" s="1"/>
  <c r="F18" i="1"/>
  <c r="G18" i="1" s="1"/>
  <c r="F50" i="1"/>
  <c r="G50" i="1" s="1"/>
  <c r="G14" i="1"/>
  <c r="F14" i="1"/>
  <c r="F24" i="1"/>
  <c r="G24" i="1" s="1"/>
  <c r="F11" i="1"/>
  <c r="G11" i="1" s="1"/>
  <c r="F26" i="1"/>
  <c r="G26" i="1" s="1"/>
  <c r="F6" i="1"/>
  <c r="F12" i="1"/>
  <c r="G12" i="1" s="1"/>
  <c r="F16" i="1"/>
  <c r="G16" i="1" s="1"/>
  <c r="F21" i="1"/>
  <c r="G21" i="1" s="1"/>
  <c r="F28" i="1"/>
  <c r="F49" i="1"/>
  <c r="G49" i="1" s="1"/>
  <c r="D20" i="1"/>
  <c r="D15" i="1"/>
  <c r="D10" i="1"/>
  <c r="D8" i="1"/>
  <c r="D5" i="1"/>
  <c r="D4" i="1"/>
  <c r="H24" i="1" l="1"/>
  <c r="H16" i="1"/>
  <c r="H22" i="1"/>
  <c r="J47" i="1"/>
  <c r="K47" i="1" s="1"/>
  <c r="I24" i="1"/>
  <c r="I16" i="1"/>
  <c r="H11" i="1"/>
  <c r="I11" i="1" s="1"/>
  <c r="J11" i="1" s="1"/>
  <c r="H21" i="1"/>
  <c r="I21" i="1" s="1"/>
  <c r="J24" i="1"/>
  <c r="H50" i="1"/>
  <c r="I50" i="1" s="1"/>
  <c r="H46" i="1"/>
  <c r="I46" i="1" s="1"/>
  <c r="H14" i="1"/>
  <c r="G28" i="1"/>
  <c r="H28" i="1" s="1"/>
  <c r="K23" i="1"/>
  <c r="I22" i="1"/>
  <c r="J22" i="1" s="1"/>
  <c r="H18" i="1"/>
  <c r="I18" i="1" s="1"/>
  <c r="J49" i="1"/>
  <c r="H13" i="1"/>
  <c r="H26" i="1"/>
  <c r="I26" i="1" s="1"/>
  <c r="H12" i="1"/>
  <c r="I12" i="1" s="1"/>
  <c r="G6" i="1"/>
  <c r="E5" i="1"/>
  <c r="F5" i="1" s="1"/>
  <c r="G56" i="1"/>
  <c r="E20" i="1"/>
  <c r="E8" i="1"/>
  <c r="E10" i="1"/>
  <c r="F10" i="1" s="1"/>
  <c r="G10" i="1" s="1"/>
  <c r="E4" i="1"/>
  <c r="F4" i="1" s="1"/>
  <c r="G4" i="1" s="1"/>
  <c r="E15" i="1"/>
  <c r="B54" i="1"/>
  <c r="J16" i="1" l="1"/>
  <c r="K16" i="1" s="1"/>
  <c r="B16" i="1" s="1"/>
  <c r="J12" i="1"/>
  <c r="I28" i="1"/>
  <c r="K22" i="1"/>
  <c r="B22" i="1" s="1"/>
  <c r="K21" i="1"/>
  <c r="J56" i="1"/>
  <c r="B56" i="1" s="1"/>
  <c r="B55" i="1" s="1"/>
  <c r="H4" i="1"/>
  <c r="J46" i="1"/>
  <c r="K46" i="1" s="1"/>
  <c r="J26" i="1"/>
  <c r="K26" i="1" s="1"/>
  <c r="J18" i="1"/>
  <c r="B18" i="1" s="1"/>
  <c r="B12" i="1"/>
  <c r="I4" i="1"/>
  <c r="K12" i="1"/>
  <c r="J28" i="1"/>
  <c r="J50" i="1"/>
  <c r="K50" i="1" s="1"/>
  <c r="H10" i="1"/>
  <c r="I10" i="1" s="1"/>
  <c r="I13" i="1"/>
  <c r="K11" i="1"/>
  <c r="B11" i="1" s="1"/>
  <c r="I14" i="1"/>
  <c r="J14" i="1" s="1"/>
  <c r="H6" i="1"/>
  <c r="F15" i="1"/>
  <c r="F20" i="1"/>
  <c r="G5" i="1"/>
  <c r="H5" i="1" s="1"/>
  <c r="I5" i="1" s="1"/>
  <c r="J5" i="1" s="1"/>
  <c r="F8" i="1"/>
  <c r="B53" i="1"/>
  <c r="B63" i="1"/>
  <c r="B60" i="1"/>
  <c r="B25" i="1"/>
  <c r="B21" i="1"/>
  <c r="B23" i="1"/>
  <c r="B24" i="1"/>
  <c r="B27" i="1"/>
  <c r="B30" i="1"/>
  <c r="B31" i="1"/>
  <c r="B32" i="1"/>
  <c r="B33" i="1"/>
  <c r="B34" i="1"/>
  <c r="B35" i="1"/>
  <c r="B36" i="1"/>
  <c r="B38" i="1"/>
  <c r="B39" i="1"/>
  <c r="B40" i="1"/>
  <c r="B41" i="1"/>
  <c r="B42" i="1"/>
  <c r="B43" i="1"/>
  <c r="B44" i="1"/>
  <c r="B47" i="1"/>
  <c r="B48" i="1"/>
  <c r="B49" i="1"/>
  <c r="B51" i="1"/>
  <c r="B52" i="1"/>
  <c r="J4" i="1" l="1"/>
  <c r="K4" i="1"/>
  <c r="B46" i="1"/>
  <c r="K14" i="1"/>
  <c r="B14" i="1" s="1"/>
  <c r="B50" i="1"/>
  <c r="J13" i="1"/>
  <c r="K13" i="1" s="1"/>
  <c r="B13" i="1" s="1"/>
  <c r="G20" i="1"/>
  <c r="H20" i="1" s="1"/>
  <c r="B4" i="1"/>
  <c r="B26" i="1"/>
  <c r="G15" i="1"/>
  <c r="J10" i="1"/>
  <c r="G8" i="1"/>
  <c r="I6" i="1"/>
  <c r="K10" i="1"/>
  <c r="B10" i="1" s="1"/>
  <c r="K28" i="1"/>
  <c r="B28" i="1" s="1"/>
  <c r="K5" i="1"/>
  <c r="B5" i="1" s="1"/>
  <c r="B45" i="1"/>
  <c r="B37" i="1"/>
  <c r="B29" i="1"/>
  <c r="M67" i="1"/>
  <c r="M80" i="1" s="1"/>
  <c r="J6" i="1" l="1"/>
  <c r="K6" i="1" s="1"/>
  <c r="B6" i="1" s="1"/>
  <c r="H15" i="1"/>
  <c r="I20" i="1"/>
  <c r="H8" i="1"/>
  <c r="H70" i="1"/>
  <c r="I15" i="1" l="1"/>
  <c r="J15" i="1" s="1"/>
  <c r="I8" i="1"/>
  <c r="J8" i="1" s="1"/>
  <c r="K8" i="1" s="1"/>
  <c r="B8" i="1" s="1"/>
  <c r="B3" i="1" s="1"/>
  <c r="J20" i="1"/>
  <c r="K20" i="1"/>
  <c r="B76" i="1"/>
  <c r="B70" i="1"/>
  <c r="K15" i="1" l="1"/>
  <c r="B15" i="1" s="1"/>
  <c r="B20" i="1"/>
  <c r="B19" i="1" s="1"/>
  <c r="B74" i="1"/>
  <c r="B73" i="1" s="1"/>
  <c r="B78" i="1" s="1"/>
  <c r="G78" i="1"/>
  <c r="D67" i="1" l="1"/>
  <c r="D80" i="1" s="1"/>
  <c r="L67" i="1" l="1"/>
  <c r="L80" i="1" l="1"/>
  <c r="L109" i="1" s="1"/>
  <c r="L71" i="1"/>
  <c r="N67" i="1"/>
  <c r="N80" i="1" s="1"/>
  <c r="C67" i="1"/>
  <c r="C80" i="1" s="1"/>
  <c r="E17" i="1"/>
  <c r="F17" i="1" l="1"/>
  <c r="F67" i="1" s="1"/>
  <c r="E67" i="1"/>
  <c r="E80" i="1" s="1"/>
  <c r="G17" i="1"/>
  <c r="G67" i="1" s="1"/>
  <c r="G80" i="1" s="1"/>
  <c r="H17" i="1" l="1"/>
  <c r="I17" i="1"/>
  <c r="H67" i="1" l="1"/>
  <c r="H80" i="1" s="1"/>
  <c r="J17" i="1"/>
  <c r="J67" i="1" s="1"/>
  <c r="K17" i="1" l="1"/>
  <c r="K67" i="1" s="1"/>
  <c r="K80" i="1"/>
  <c r="K71" i="1"/>
  <c r="J80" i="1"/>
  <c r="J71" i="1"/>
  <c r="B17" i="1" l="1"/>
  <c r="B9" i="1" s="1"/>
  <c r="B67" i="1" s="1"/>
  <c r="B80" i="1" l="1"/>
  <c r="F71" i="1"/>
  <c r="F78" i="1" s="1"/>
  <c r="F80" i="1" s="1"/>
  <c r="I67" i="1"/>
  <c r="I80" i="1" s="1"/>
  <c r="C109" i="1" l="1"/>
  <c r="E111" i="1"/>
  <c r="B83" i="1"/>
  <c r="F114" i="1"/>
  <c r="H108" i="1"/>
  <c r="B113" i="1"/>
  <c r="B109" i="1"/>
  <c r="B111" i="1"/>
  <c r="C116" i="1"/>
</calcChain>
</file>

<file path=xl/sharedStrings.xml><?xml version="1.0" encoding="utf-8"?>
<sst xmlns="http://purl.oclc.org/ooxml/spreadsheetml/main" count="97" uniqueCount="95">
  <si>
    <t>Detalle</t>
  </si>
  <si>
    <t xml:space="preserve">Total </t>
  </si>
  <si>
    <t xml:space="preserve">Enero </t>
  </si>
  <si>
    <t xml:space="preserve">Febrero </t>
  </si>
  <si>
    <t>Marzo</t>
  </si>
  <si>
    <t>Abril</t>
  </si>
  <si>
    <t>Mayo</t>
  </si>
  <si>
    <t>Junio</t>
  </si>
  <si>
    <t>Julio</t>
  </si>
  <si>
    <t>Agosto</t>
  </si>
  <si>
    <t>Septiembre</t>
  </si>
  <si>
    <t xml:space="preserve">Octubre </t>
  </si>
  <si>
    <t>Noviembre</t>
  </si>
  <si>
    <t>Diciembre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</si>
  <si>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</si>
  <si>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</si>
  <si>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</si>
  <si>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</si>
  <si>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</si>
  <si>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</si>
  <si>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</si>
  <si>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</si>
  <si>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</si>
  <si>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</si>
  <si>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</si>
  <si>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</si>
  <si>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</si>
  <si>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</si>
  <si>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</si>
  <si>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</si>
  <si>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</si>
  <si>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</si>
  <si>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</si>
  <si>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</si>
  <si>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</si>
  <si>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</si>
  <si>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</si>
  <si>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</si>
  <si>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</si>
  <si>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</si>
  <si>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</si>
  <si>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</si>
  <si>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</si>
  <si>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</si>
  <si>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</si>
  <si>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</si>
  <si>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</si>
  <si>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</si>
  <si>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</si>
  <si>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</si>
  <si>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</si>
  <si>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</si>
  <si>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</si>
  <si>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</si>
  <si>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</si>
  <si>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</si>
  <si>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</si>
  <si>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</si>
  <si>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</si>
  <si>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</si>
  <si>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</si>
  <si>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</si>
  <si>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</si>
  <si>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</si>
  <si>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</si>
  <si>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</si>
  <si>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</si>
  <si>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</si>
  <si>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</si>
  <si>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</si>
  <si>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</si>
  <si>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</si>
  <si>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</si>
  <si>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</si>
  <si>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</si>
  <si>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</si>
  <si>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</si>
  <si>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</si>
  <si>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</si>
  <si>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</si>
  <si>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</si>
  <si>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</si>
  <si>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</si>
  <si>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</si>
  <si>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</si>
  <si>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</si>
  <si>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</si>
  <si>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</si>
  <si>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</si>
  <si>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</si>
  <si>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Aprobado por:___________________________________________</t>
  </si>
  <si>
    <t>DIRECTORA FINANCIERA</t>
  </si>
  <si>
    <t>2.2.9 - SERVICIOS DE ALIMENTACION</t>
  </si>
  <si>
    <t>Lisette Jiménez</t>
  </si>
  <si>
    <t>MARIA DEL CARMEN ROJAS REYES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</si>
</sst>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4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sz val="35"/>
      <color theme="1"/>
      <name val="Calibri"/>
      <family val="2"/>
      <scheme val="minor"/>
    </font>
    <font>
      <sz val="35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sz val="40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sz val="24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start/>
      <end/>
      <top/>
      <bottom/>
      <diagonal/>
    </border>
    <border>
      <start/>
      <end/>
      <top/>
      <bottom style="thin">
        <color theme="4" tint="0.39997558519241921"/>
      </bottom>
      <diagonal/>
    </border>
    <border>
      <start/>
      <end/>
      <top style="thin">
        <color theme="4" tint="0.39997558519241921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6">
    <xf numFmtId="0" fontId="0" fillId="0" borderId="0" xfId="0"/>
    <xf numFmtId="0" fontId="3" fillId="0" borderId="0" xfId="0" applyFont="1"/>
    <xf numFmtId="0" fontId="2" fillId="0" borderId="1" xfId="0" applyFont="1" applyBorder="1" applyAlignment="1">
      <alignment horizontal="left" vertical="center" wrapText="1"/>
    </xf>
    <xf numFmtId="4" fontId="2" fillId="0" borderId="1" xfId="1" applyNumberFormat="1" applyFont="1" applyBorder="1" applyAlignment="1">
      <alignment horizontal="left" vertical="center" wrapText="1"/>
    </xf>
    <xf numFmtId="164" fontId="2" fillId="0" borderId="1" xfId="1" applyFont="1" applyBorder="1" applyAlignment="1">
      <alignment horizontal="left" vertical="center" wrapText="1"/>
    </xf>
    <xf numFmtId="164" fontId="2" fillId="4" borderId="1" xfId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4" fontId="3" fillId="0" borderId="0" xfId="1" applyNumberFormat="1" applyFont="1"/>
    <xf numFmtId="4" fontId="3" fillId="0" borderId="0" xfId="0" applyNumberFormat="1" applyFont="1"/>
    <xf numFmtId="0" fontId="3" fillId="4" borderId="0" xfId="0" applyFont="1" applyFill="1"/>
    <xf numFmtId="164" fontId="3" fillId="0" borderId="0" xfId="1" applyFont="1"/>
    <xf numFmtId="0" fontId="3" fillId="0" borderId="0" xfId="0" applyFont="1" applyAlignment="1">
      <alignment horizontal="left" vertical="center" wrapText="1"/>
    </xf>
    <xf numFmtId="4" fontId="3" fillId="4" borderId="0" xfId="0" applyNumberFormat="1" applyFont="1" applyFill="1"/>
    <xf numFmtId="164" fontId="3" fillId="0" borderId="0" xfId="0" applyNumberFormat="1" applyFont="1"/>
    <xf numFmtId="165" fontId="3" fillId="0" borderId="0" xfId="0" applyNumberFormat="1" applyFont="1" applyAlignment="1">
      <alignment vertical="center" wrapText="1"/>
    </xf>
    <xf numFmtId="165" fontId="2" fillId="0" borderId="0" xfId="0" applyNumberFormat="1" applyFont="1" applyAlignment="1">
      <alignment vertical="center" wrapText="1"/>
    </xf>
    <xf numFmtId="43" fontId="3" fillId="0" borderId="0" xfId="0" applyNumberFormat="1" applyFont="1" applyAlignment="1">
      <alignment vertical="center" wrapText="1"/>
    </xf>
    <xf numFmtId="164" fontId="3" fillId="4" borderId="0" xfId="0" applyNumberFormat="1" applyFont="1" applyFill="1"/>
    <xf numFmtId="43" fontId="3" fillId="0" borderId="0" xfId="0" applyNumberFormat="1" applyFont="1" applyAlignment="1">
      <alignment vertical="center"/>
    </xf>
    <xf numFmtId="4" fontId="3" fillId="0" borderId="0" xfId="0" applyNumberFormat="1" applyFont="1" applyAlignment="1"/>
    <xf numFmtId="3" fontId="3" fillId="0" borderId="0" xfId="0" applyNumberFormat="1" applyFont="1" applyAlignment="1"/>
    <xf numFmtId="164" fontId="3" fillId="0" borderId="0" xfId="0" applyNumberFormat="1" applyFont="1" applyAlignment="1"/>
    <xf numFmtId="0" fontId="3" fillId="0" borderId="0" xfId="0" applyFont="1" applyAlignment="1"/>
    <xf numFmtId="165" fontId="3" fillId="0" borderId="0" xfId="0" applyNumberFormat="1" applyFont="1" applyAlignment="1">
      <alignment vertical="center"/>
    </xf>
    <xf numFmtId="0" fontId="3" fillId="4" borderId="0" xfId="0" applyFont="1" applyFill="1" applyAlignment="1"/>
    <xf numFmtId="165" fontId="2" fillId="3" borderId="2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Border="1" applyAlignment="1">
      <alignment vertical="center" wrapText="1"/>
    </xf>
    <xf numFmtId="165" fontId="2" fillId="0" borderId="1" xfId="0" applyNumberFormat="1" applyFont="1" applyBorder="1" applyAlignment="1">
      <alignment vertical="center" wrapText="1"/>
    </xf>
    <xf numFmtId="165" fontId="2" fillId="4" borderId="1" xfId="0" applyNumberFormat="1" applyFont="1" applyFill="1" applyBorder="1" applyAlignment="1">
      <alignment vertical="center" wrapText="1"/>
    </xf>
    <xf numFmtId="4" fontId="2" fillId="0" borderId="0" xfId="0" applyNumberFormat="1" applyFont="1"/>
    <xf numFmtId="0" fontId="3" fillId="0" borderId="0" xfId="0" applyFont="1" applyAlignment="1">
      <alignment wrapText="1"/>
    </xf>
    <xf numFmtId="0" fontId="9" fillId="0" borderId="0" xfId="0" applyFont="1"/>
    <xf numFmtId="0" fontId="5" fillId="0" borderId="1" xfId="0" applyFont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vertical="center" wrapText="1"/>
    </xf>
    <xf numFmtId="43" fontId="2" fillId="3" borderId="2" xfId="0" applyNumberFormat="1" applyFont="1" applyFill="1" applyBorder="1" applyAlignment="1">
      <alignment horizontal="center" vertical="center" wrapText="1"/>
    </xf>
    <xf numFmtId="165" fontId="2" fillId="3" borderId="0" xfId="0" applyNumberFormat="1" applyFont="1" applyFill="1" applyBorder="1" applyAlignment="1">
      <alignment horizontal="center" vertical="center" wrapText="1"/>
    </xf>
    <xf numFmtId="4" fontId="2" fillId="3" borderId="2" xfId="0" applyNumberFormat="1" applyFont="1" applyFill="1" applyBorder="1" applyAlignment="1">
      <alignment horizontal="center" vertical="center" wrapText="1"/>
    </xf>
    <xf numFmtId="4" fontId="2" fillId="3" borderId="0" xfId="0" applyNumberFormat="1" applyFont="1" applyFill="1" applyBorder="1" applyAlignment="1">
      <alignment horizontal="center" vertical="center" wrapText="1"/>
    </xf>
    <xf numFmtId="43" fontId="2" fillId="3" borderId="0" xfId="0" applyNumberFormat="1" applyFont="1" applyFill="1" applyBorder="1" applyAlignment="1">
      <alignment horizontal="center" vertical="center" wrapText="1"/>
    </xf>
    <xf numFmtId="164" fontId="2" fillId="3" borderId="0" xfId="1" applyFont="1" applyFill="1" applyBorder="1" applyAlignment="1">
      <alignment horizontal="center" vertical="center" wrapText="1"/>
    </xf>
    <xf numFmtId="0" fontId="3" fillId="5" borderId="0" xfId="0" applyFont="1" applyFill="1"/>
    <xf numFmtId="4" fontId="3" fillId="0" borderId="0" xfId="0" applyNumberFormat="1" applyFont="1" applyAlignment="1">
      <alignment wrapText="1"/>
    </xf>
    <xf numFmtId="4" fontId="2" fillId="4" borderId="0" xfId="0" applyNumberFormat="1" applyFont="1" applyFill="1"/>
    <xf numFmtId="4" fontId="2" fillId="3" borderId="2" xfId="0" applyNumberFormat="1" applyFont="1" applyFill="1" applyBorder="1" applyAlignment="1">
      <alignment horizontal="right" vertical="center" wrapText="1"/>
    </xf>
    <xf numFmtId="165" fontId="3" fillId="0" borderId="0" xfId="0" applyNumberFormat="1" applyFont="1"/>
    <xf numFmtId="0" fontId="10" fillId="0" borderId="0" xfId="0" applyFont="1"/>
    <xf numFmtId="4" fontId="10" fillId="0" borderId="0" xfId="0" applyNumberFormat="1" applyFont="1"/>
    <xf numFmtId="0" fontId="3" fillId="0" borderId="0" xfId="0" applyFont="1" applyAlignment="1">
      <alignment vertical="center" wrapText="1"/>
    </xf>
    <xf numFmtId="0" fontId="11" fillId="0" borderId="0" xfId="0" applyFont="1" applyAlignment="1">
      <alignment wrapText="1"/>
    </xf>
    <xf numFmtId="4" fontId="11" fillId="0" borderId="0" xfId="0" applyNumberFormat="1" applyFont="1"/>
    <xf numFmtId="0" fontId="11" fillId="0" borderId="0" xfId="0" applyFont="1"/>
    <xf numFmtId="4" fontId="6" fillId="0" borderId="0" xfId="0" applyNumberFormat="1" applyFont="1"/>
    <xf numFmtId="0" fontId="6" fillId="0" borderId="0" xfId="0" applyFont="1"/>
    <xf numFmtId="4" fontId="12" fillId="0" borderId="0" xfId="0" applyNumberFormat="1" applyFont="1"/>
    <xf numFmtId="0" fontId="6" fillId="3" borderId="2" xfId="0" applyFont="1" applyFill="1" applyBorder="1" applyAlignment="1">
      <alignment horizontal="left" vertical="center" wrapText="1"/>
    </xf>
    <xf numFmtId="4" fontId="6" fillId="2" borderId="4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vertical="center" wrapText="1"/>
    </xf>
    <xf numFmtId="164" fontId="3" fillId="6" borderId="0" xfId="1" applyFont="1" applyFill="1"/>
    <xf numFmtId="4" fontId="3" fillId="6" borderId="0" xfId="0" applyNumberFormat="1" applyFont="1" applyFill="1"/>
    <xf numFmtId="0" fontId="3" fillId="6" borderId="0" xfId="0" applyFont="1" applyFill="1"/>
    <xf numFmtId="4" fontId="2" fillId="4" borderId="1" xfId="1" applyNumberFormat="1" applyFont="1" applyFill="1" applyBorder="1" applyAlignment="1">
      <alignment horizontal="left" vertical="center" wrapText="1"/>
    </xf>
    <xf numFmtId="164" fontId="3" fillId="4" borderId="0" xfId="1" applyFont="1" applyFill="1"/>
    <xf numFmtId="4" fontId="3" fillId="4" borderId="0" xfId="1" applyNumberFormat="1" applyFont="1" applyFill="1"/>
    <xf numFmtId="164" fontId="3" fillId="4" borderId="0" xfId="1" applyFont="1" applyFill="1" applyBorder="1"/>
    <xf numFmtId="4" fontId="14" fillId="4" borderId="0" xfId="1" applyNumberFormat="1" applyFont="1" applyFill="1"/>
    <xf numFmtId="4" fontId="14" fillId="4" borderId="0" xfId="0" applyNumberFormat="1" applyFont="1" applyFill="1"/>
    <xf numFmtId="0" fontId="3" fillId="4" borderId="0" xfId="0" applyFont="1" applyFill="1" applyBorder="1"/>
    <xf numFmtId="164" fontId="4" fillId="4" borderId="0" xfId="1" applyFont="1" applyFill="1" applyBorder="1"/>
    <xf numFmtId="43" fontId="3" fillId="4" borderId="0" xfId="0" applyNumberFormat="1" applyFont="1" applyFill="1" applyBorder="1"/>
    <xf numFmtId="164" fontId="3" fillId="4" borderId="0" xfId="0" applyNumberFormat="1" applyFont="1" applyFill="1" applyBorder="1"/>
    <xf numFmtId="164" fontId="3" fillId="4" borderId="0" xfId="0" applyNumberFormat="1" applyFont="1" applyFill="1" applyAlignment="1"/>
    <xf numFmtId="4" fontId="3" fillId="4" borderId="0" xfId="0" applyNumberFormat="1" applyFont="1" applyFill="1" applyAlignment="1"/>
    <xf numFmtId="0" fontId="3" fillId="4" borderId="0" xfId="0" applyFont="1" applyFill="1" applyBorder="1" applyAlignment="1"/>
    <xf numFmtId="165" fontId="3" fillId="4" borderId="0" xfId="0" applyNumberFormat="1" applyFont="1" applyFill="1"/>
    <xf numFmtId="4" fontId="6" fillId="2" borderId="5" xfId="0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" fontId="2" fillId="4" borderId="1" xfId="0" applyNumberFormat="1" applyFont="1" applyFill="1" applyBorder="1" applyAlignment="1">
      <alignment vertical="center" wrapText="1"/>
    </xf>
    <xf numFmtId="0" fontId="8" fillId="2" borderId="3" xfId="0" applyFont="1" applyFill="1" applyBorder="1" applyAlignment="1">
      <alignment horizontal="center" vertical="center" wrapText="1"/>
    </xf>
    <xf numFmtId="4" fontId="2" fillId="0" borderId="0" xfId="1" applyNumberFormat="1" applyFont="1"/>
    <xf numFmtId="4" fontId="13" fillId="0" borderId="0" xfId="0" applyNumberFormat="1" applyFont="1" applyAlignment="1"/>
    <xf numFmtId="4" fontId="5" fillId="0" borderId="0" xfId="0" applyNumberFormat="1" applyFont="1" applyAlignment="1"/>
    <xf numFmtId="165" fontId="3" fillId="4" borderId="0" xfId="0" applyNumberFormat="1" applyFont="1" applyFill="1" applyBorder="1"/>
    <xf numFmtId="43" fontId="3" fillId="4" borderId="0" xfId="0" applyNumberFormat="1" applyFont="1" applyFill="1"/>
    <xf numFmtId="4" fontId="6" fillId="0" borderId="0" xfId="0" applyNumberFormat="1" applyFont="1" applyAlignment="1">
      <alignment wrapText="1"/>
    </xf>
    <xf numFmtId="0" fontId="2" fillId="0" borderId="0" xfId="0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N116"/>
  <sheetViews>
    <sheetView tabSelected="1" view="pageBreakPreview" zoomScale="80" zoomScaleNormal="80" zoomScaleSheetLayoutView="80" workbookViewId="0">
      <selection activeCell="A45" sqref="A45"/>
    </sheetView>
  </sheetViews>
  <sheetFormatPr baseColWidth="10" defaultColWidth="9.140625" defaultRowHeight="31.5" x14ac:dyDescent="0.5"/>
  <cols>
    <col min="1" max="1" width="157.140625" style="30" customWidth="1"/>
    <col min="2" max="2" width="42.28515625" style="8" customWidth="1"/>
    <col min="3" max="3" width="39.5703125" style="1" customWidth="1"/>
    <col min="4" max="4" width="38" style="1" customWidth="1"/>
    <col min="5" max="5" width="38.42578125" style="1" customWidth="1"/>
    <col min="6" max="6" width="39.7109375" style="1" customWidth="1"/>
    <col min="7" max="7" width="43.7109375" style="9" customWidth="1"/>
    <col min="8" max="8" width="40.42578125" style="1" customWidth="1"/>
    <col min="9" max="9" width="47.140625" style="60" customWidth="1"/>
    <col min="10" max="10" width="41.5703125" style="60" customWidth="1"/>
    <col min="11" max="11" width="52" style="59" customWidth="1"/>
    <col min="12" max="12" width="46.42578125" style="59" customWidth="1"/>
    <col min="13" max="13" width="48.42578125" style="40" customWidth="1"/>
    <col min="14" max="14" width="44.85546875" style="1" customWidth="1"/>
    <col min="15" max="15" width="2.42578125" style="1" customWidth="1"/>
    <col min="16" max="16384" width="9.140625" style="1"/>
  </cols>
  <sheetData>
    <row r="1" spans="1:14" s="31" customFormat="1" ht="93" thickBot="1" x14ac:dyDescent="0.75">
      <c r="A1" s="57" t="s">
        <v>0</v>
      </c>
      <c r="B1" s="55" t="s">
        <v>1</v>
      </c>
      <c r="C1" s="56" t="s">
        <v>2</v>
      </c>
      <c r="D1" s="56" t="s">
        <v>3</v>
      </c>
      <c r="E1" s="56" t="s">
        <v>4</v>
      </c>
      <c r="F1" s="56" t="s">
        <v>5</v>
      </c>
      <c r="G1" s="56" t="s">
        <v>6</v>
      </c>
      <c r="H1" s="56" t="s">
        <v>7</v>
      </c>
      <c r="I1" s="56" t="s">
        <v>8</v>
      </c>
      <c r="J1" s="56" t="s">
        <v>9</v>
      </c>
      <c r="K1" s="75" t="s">
        <v>10</v>
      </c>
      <c r="L1" s="75" t="s">
        <v>11</v>
      </c>
      <c r="M1" s="76" t="s">
        <v>12</v>
      </c>
      <c r="N1" s="78" t="s">
        <v>13</v>
      </c>
    </row>
    <row r="2" spans="1:14" ht="33.75" x14ac:dyDescent="0.5">
      <c r="A2" s="32" t="s">
        <v>14</v>
      </c>
      <c r="B2" s="3"/>
      <c r="C2" s="4"/>
      <c r="D2" s="4"/>
      <c r="E2" s="4"/>
      <c r="F2" s="4"/>
      <c r="G2" s="5"/>
      <c r="H2" s="4"/>
      <c r="I2" s="5"/>
      <c r="J2" s="5"/>
      <c r="K2" s="61"/>
      <c r="L2" s="61"/>
      <c r="M2" s="5"/>
      <c r="N2" s="4"/>
    </row>
    <row r="3" spans="1:14" x14ac:dyDescent="0.5">
      <c r="A3" s="6" t="s">
        <v>15</v>
      </c>
      <c r="B3" s="79">
        <f>SUM(B4:B8)</f>
        <v>151981982.31999999</v>
      </c>
      <c r="C3" s="8"/>
      <c r="E3" s="8"/>
      <c r="H3" s="8"/>
      <c r="I3" s="62"/>
      <c r="J3" s="62"/>
      <c r="K3" s="63"/>
      <c r="L3" s="63"/>
      <c r="M3" s="62"/>
      <c r="N3" s="10"/>
    </row>
    <row r="4" spans="1:14" x14ac:dyDescent="0.5">
      <c r="A4" s="11" t="s">
        <v>16</v>
      </c>
      <c r="B4" s="7">
        <f>SUM(C4:K4)</f>
        <v>132628234.68000001</v>
      </c>
      <c r="C4" s="8">
        <v>11518009.199999999</v>
      </c>
      <c r="D4" s="8">
        <f>22807248.4-C4</f>
        <v>11289239.199999999</v>
      </c>
      <c r="E4" s="8">
        <f>35486587.6-C4-D4</f>
        <v>12679339.200000003</v>
      </c>
      <c r="F4" s="8">
        <f>49167626.8-C4-D4-E4</f>
        <v>13681039.199999992</v>
      </c>
      <c r="G4" s="12">
        <f>62084866-C4-D4-E4-F4</f>
        <v>12917239.199999999</v>
      </c>
      <c r="H4" s="8">
        <f>70123055.2-C4-D4-E4-F4-G4</f>
        <v>8038189.200000003</v>
      </c>
      <c r="I4" s="64">
        <f>87328522.1-C4-D4-E4-F4-G4-H4</f>
        <v>17205466.899999995</v>
      </c>
      <c r="J4" s="62">
        <f>119808017.78-C4-D4-E4-F4-G4-H4-I4</f>
        <v>32479495.680000003</v>
      </c>
      <c r="K4" s="63">
        <f>132628234.68-C4-D4-E4-F4-G4-H4-I4-J4</f>
        <v>12820216.90000001</v>
      </c>
      <c r="L4" s="65"/>
      <c r="M4" s="62"/>
      <c r="N4" s="10"/>
    </row>
    <row r="5" spans="1:14" x14ac:dyDescent="0.5">
      <c r="A5" s="11" t="s">
        <v>17</v>
      </c>
      <c r="B5" s="7">
        <f t="shared" ref="B5:B8" si="0">SUM(C5:K5)</f>
        <v>2123720.5</v>
      </c>
      <c r="C5" s="8">
        <v>235524.5</v>
      </c>
      <c r="D5" s="8">
        <f>430049-C5</f>
        <v>194524.5</v>
      </c>
      <c r="E5" s="8">
        <f>657573.5-C5-D5</f>
        <v>227524.5</v>
      </c>
      <c r="F5" s="8">
        <f>885098-C5-D5-E5</f>
        <v>227524.5</v>
      </c>
      <c r="G5" s="12">
        <f>1112622.5-C5-D5-E5-F5</f>
        <v>227524.5</v>
      </c>
      <c r="H5" s="8">
        <f>1340147-C5-D5-E5-F5-G5</f>
        <v>227524.5</v>
      </c>
      <c r="I5" s="64">
        <f>1592671.5-C5-D5-E5-F5-G5-H5</f>
        <v>252524.5</v>
      </c>
      <c r="J5" s="12">
        <f>1845196-C5-D5-E5-F5-G5-H5-I5</f>
        <v>252524.5</v>
      </c>
      <c r="K5" s="12">
        <f>2123720.5-C5-D5-E5-F5-G5-H5-I5-J5</f>
        <v>278524.5</v>
      </c>
      <c r="L5" s="12"/>
      <c r="M5" s="17"/>
      <c r="N5" s="13"/>
    </row>
    <row r="6" spans="1:14" x14ac:dyDescent="0.5">
      <c r="A6" s="11" t="s">
        <v>18</v>
      </c>
      <c r="B6" s="7">
        <f t="shared" si="0"/>
        <v>162000</v>
      </c>
      <c r="C6" s="14">
        <v>0</v>
      </c>
      <c r="D6" s="14">
        <v>0</v>
      </c>
      <c r="E6" s="8">
        <f>0-C6-D6</f>
        <v>0</v>
      </c>
      <c r="F6" s="8">
        <f>54000-C6-D6-E6</f>
        <v>54000</v>
      </c>
      <c r="G6" s="8">
        <f>108000-C6-D6-E6-F6</f>
        <v>54000</v>
      </c>
      <c r="H6" s="8">
        <f>162000-C6-D6-E6-F6-G6</f>
        <v>54000</v>
      </c>
      <c r="I6" s="12">
        <f>162000-C6-D6-E6-F6-G6-H6</f>
        <v>0</v>
      </c>
      <c r="J6" s="17">
        <f>162000-C6-D6-E6-F6-G6-H6-I6</f>
        <v>0</v>
      </c>
      <c r="K6" s="12">
        <f>162000-C6-D6-E6-F6-G6-H6-I6-J6</f>
        <v>0</v>
      </c>
      <c r="L6" s="12"/>
      <c r="M6" s="17"/>
      <c r="N6" s="13"/>
    </row>
    <row r="7" spans="1:14" x14ac:dyDescent="0.5">
      <c r="A7" s="11" t="s">
        <v>19</v>
      </c>
      <c r="B7" s="7">
        <f t="shared" si="0"/>
        <v>0</v>
      </c>
      <c r="C7" s="14">
        <v>0</v>
      </c>
      <c r="D7" s="14">
        <v>0</v>
      </c>
      <c r="E7" s="44">
        <f>0-C7-D7</f>
        <v>0</v>
      </c>
      <c r="H7" s="8"/>
      <c r="I7" s="64"/>
      <c r="J7" s="9"/>
      <c r="K7" s="12">
        <v>0</v>
      </c>
      <c r="L7" s="12"/>
      <c r="M7" s="9"/>
    </row>
    <row r="8" spans="1:14" x14ac:dyDescent="0.5">
      <c r="A8" s="11" t="s">
        <v>20</v>
      </c>
      <c r="B8" s="7">
        <f t="shared" si="0"/>
        <v>17068027.140000001</v>
      </c>
      <c r="C8" s="8">
        <v>1748648.06</v>
      </c>
      <c r="D8" s="8">
        <f>3462732.61-C8</f>
        <v>1714084.5499999998</v>
      </c>
      <c r="E8" s="8">
        <f>5388450.01-C8-D8</f>
        <v>1925717.4</v>
      </c>
      <c r="F8" s="8">
        <f>7467643.34-C8-D8-E8</f>
        <v>2079193.3299999996</v>
      </c>
      <c r="G8" s="12">
        <f>9429254.9-C8-D8-E8-F8</f>
        <v>1961611.5600000005</v>
      </c>
      <c r="H8" s="8">
        <f>10648375.85-C8-D8-E8-F8-G8</f>
        <v>1219120.9499999997</v>
      </c>
      <c r="I8" s="64">
        <f>13264158.4-C8-D8-E8-F8-G8-H8</f>
        <v>2615782.5499999984</v>
      </c>
      <c r="J8" s="17">
        <f>15114455.56-C8-D8-E8-F8-G8-H8-I8</f>
        <v>1850297.1600000006</v>
      </c>
      <c r="K8" s="12">
        <f>17068027.14-C8-D8-E8-F8-G8-H8-I8-J8</f>
        <v>1953571.5800000019</v>
      </c>
      <c r="L8" s="66"/>
      <c r="M8" s="17"/>
      <c r="N8" s="13"/>
    </row>
    <row r="9" spans="1:14" x14ac:dyDescent="0.5">
      <c r="A9" s="6" t="s">
        <v>21</v>
      </c>
      <c r="B9" s="79">
        <f>SUM(B10:B18)</f>
        <v>20149677.149999999</v>
      </c>
      <c r="C9" s="15"/>
      <c r="I9" s="67"/>
      <c r="J9" s="9"/>
      <c r="K9" s="12"/>
      <c r="L9" s="12"/>
      <c r="M9" s="17"/>
    </row>
    <row r="10" spans="1:14" x14ac:dyDescent="0.5">
      <c r="A10" s="11" t="s">
        <v>22</v>
      </c>
      <c r="B10" s="7">
        <f>SUM(C10:N10)</f>
        <v>6211293.7199999997</v>
      </c>
      <c r="C10" s="16">
        <v>654014.03</v>
      </c>
      <c r="D10" s="8">
        <f>1624786.42-C10</f>
        <v>970772.3899999999</v>
      </c>
      <c r="E10" s="8">
        <f>1916872.08-C10-D10</f>
        <v>292085.66000000015</v>
      </c>
      <c r="F10" s="8">
        <f>2584086.37-C10-D10-E10</f>
        <v>667214.29</v>
      </c>
      <c r="G10" s="12">
        <f>3245568.55-C10-D10-E10-F10</f>
        <v>661482.17999999947</v>
      </c>
      <c r="H10" s="8">
        <f>3987146.97-C10-D10-E10-F10-G10</f>
        <v>741578.42000000109</v>
      </c>
      <c r="I10" s="64">
        <f>4667008.66-C10-D10-E10-F10-G10-H10</f>
        <v>679861.68999999948</v>
      </c>
      <c r="J10" s="17">
        <f>5444466.5-C10-D10-E10-F10-G10-H10-I10</f>
        <v>777457.83999999962</v>
      </c>
      <c r="K10" s="12">
        <f>6211293.72-C10-D10-E10-F10-G10-H10-I10-J10</f>
        <v>766827.22</v>
      </c>
      <c r="L10" s="12"/>
      <c r="M10" s="17"/>
      <c r="N10" s="13"/>
    </row>
    <row r="11" spans="1:14" x14ac:dyDescent="0.5">
      <c r="A11" s="11" t="s">
        <v>23</v>
      </c>
      <c r="B11" s="7">
        <f t="shared" ref="B11:B18" si="1">SUM(C11:N11)</f>
        <v>1271805.6999999997</v>
      </c>
      <c r="C11" s="14">
        <v>0</v>
      </c>
      <c r="D11" s="14">
        <v>0</v>
      </c>
      <c r="E11" s="13">
        <f>219120.1-C11-D11</f>
        <v>219120.1</v>
      </c>
      <c r="F11" s="13">
        <f>244120.1-C11-D11-E11</f>
        <v>25000</v>
      </c>
      <c r="G11" s="17">
        <f>244120.1-C11-D11-E11-F11</f>
        <v>0</v>
      </c>
      <c r="H11" s="13">
        <f>244120.1-C11-D11-E11-F11-G11</f>
        <v>0</v>
      </c>
      <c r="I11" s="70">
        <f>244120.1-+C11-D11-E11-F11-G11-H11</f>
        <v>0</v>
      </c>
      <c r="J11" s="83">
        <f>788926.1-C11-D11-E11-F11-G11-H11-I11</f>
        <v>544806</v>
      </c>
      <c r="K11" s="12">
        <f>1271805.7-C11-D11-E11-F11-G11-H11-I11-J11</f>
        <v>482879.59999999986</v>
      </c>
      <c r="L11" s="12"/>
      <c r="M11" s="9"/>
    </row>
    <row r="12" spans="1:14" x14ac:dyDescent="0.5">
      <c r="A12" s="11" t="s">
        <v>24</v>
      </c>
      <c r="B12" s="7">
        <f>SUM(C12:K12)</f>
        <v>1878666.5</v>
      </c>
      <c r="C12" s="14">
        <v>0</v>
      </c>
      <c r="D12" s="14">
        <v>0</v>
      </c>
      <c r="E12" s="8">
        <f>0-C12-D12</f>
        <v>0</v>
      </c>
      <c r="F12" s="8">
        <f>166800-C12-D12-E12</f>
        <v>166800</v>
      </c>
      <c r="G12" s="12">
        <f>271072.5-C12-D12-E12-F12</f>
        <v>104272.5</v>
      </c>
      <c r="H12" s="8">
        <f>729270-C12-D12-E12-F12-G12</f>
        <v>458197.5</v>
      </c>
      <c r="I12" s="68">
        <f>1299872.5-C12-D12-E12-F12-G12-H12</f>
        <v>570602.5</v>
      </c>
      <c r="J12" s="17">
        <f>1376872.5-C12-D12-E12-F12-G12-H12-I12</f>
        <v>77000</v>
      </c>
      <c r="K12" s="12">
        <f>1878666.5-C12-D12-E12-F12-G12-H12-I12-J12</f>
        <v>501794</v>
      </c>
      <c r="L12" s="12"/>
      <c r="M12" s="17"/>
      <c r="N12" s="13"/>
    </row>
    <row r="13" spans="1:14" x14ac:dyDescent="0.5">
      <c r="A13" s="11" t="s">
        <v>25</v>
      </c>
      <c r="B13" s="7">
        <f>SUM(C13:N13)</f>
        <v>371500</v>
      </c>
      <c r="C13" s="14">
        <v>0</v>
      </c>
      <c r="D13" s="14">
        <v>0</v>
      </c>
      <c r="E13" s="8">
        <f>0-C13-D13</f>
        <v>0</v>
      </c>
      <c r="F13" s="8">
        <f>18500-C13-D13-E13</f>
        <v>18500</v>
      </c>
      <c r="G13" s="12">
        <f>18500-C13-D13-E13-F13</f>
        <v>0</v>
      </c>
      <c r="H13" s="8">
        <f>18500-C13-D13-E13-F13-G13</f>
        <v>0</v>
      </c>
      <c r="I13" s="64">
        <f>18500-C13-D13-E13-F13-G13-H13</f>
        <v>0</v>
      </c>
      <c r="J13" s="17">
        <f>197860-C13-D13-E13-F13-G13-H13-I13</f>
        <v>179360</v>
      </c>
      <c r="K13" s="12">
        <f>371500-C13-D13-E13-F13-G13-H13-I13-J13</f>
        <v>173640</v>
      </c>
      <c r="L13" s="12"/>
      <c r="M13" s="17"/>
    </row>
    <row r="14" spans="1:14" x14ac:dyDescent="0.5">
      <c r="A14" s="11" t="s">
        <v>26</v>
      </c>
      <c r="B14" s="7">
        <f t="shared" si="1"/>
        <v>2512422.15</v>
      </c>
      <c r="C14" s="16">
        <v>0</v>
      </c>
      <c r="D14" s="14">
        <v>0</v>
      </c>
      <c r="E14" s="8">
        <f>624108.63-C14-D14</f>
        <v>624108.63</v>
      </c>
      <c r="F14" s="8">
        <f>963553.08-C14-D14-E14</f>
        <v>339444.44999999995</v>
      </c>
      <c r="G14" s="12">
        <f>1505027.42-C14-D14-E14-F14</f>
        <v>541474.34</v>
      </c>
      <c r="H14" s="8">
        <f>1550027.42-C14-D14-E14-F14-G14</f>
        <v>45000</v>
      </c>
      <c r="I14" s="69">
        <f>2021872.15-C14-D14-E14-F14-G14-H14</f>
        <v>471844.7300000001</v>
      </c>
      <c r="J14" s="17">
        <f>2226272.15-C14-D14-E14-F14-G14-H14-I14</f>
        <v>204400</v>
      </c>
      <c r="K14" s="12">
        <f>2512422.15-C14-D14-E14-F14-G14-H14-I14-J14</f>
        <v>286150</v>
      </c>
      <c r="L14" s="12"/>
      <c r="M14" s="17"/>
      <c r="N14" s="13"/>
    </row>
    <row r="15" spans="1:14" x14ac:dyDescent="0.5">
      <c r="A15" s="11" t="s">
        <v>27</v>
      </c>
      <c r="B15" s="7">
        <f t="shared" si="1"/>
        <v>1076073.6200000003</v>
      </c>
      <c r="C15" s="16">
        <v>41477.03</v>
      </c>
      <c r="D15" s="8">
        <f>44871.23-C15</f>
        <v>3394.2000000000044</v>
      </c>
      <c r="E15" s="8">
        <f>230268.16-C15-D15</f>
        <v>185396.93</v>
      </c>
      <c r="F15" s="8">
        <f>310491.26-C15-D15-E15</f>
        <v>80223.099999999977</v>
      </c>
      <c r="G15" s="12">
        <f>735592.11-C15-D15-E15-F15</f>
        <v>425100.85000000003</v>
      </c>
      <c r="H15" s="8">
        <f>822662.49-C15-D15-E15-F15-G15</f>
        <v>87070.380000000063</v>
      </c>
      <c r="I15" s="64">
        <f>921262.2-C15-D15-E15-F15-G15-H15</f>
        <v>98599.709999999963</v>
      </c>
      <c r="J15" s="17">
        <f>996632.45-C15-D15-E15-F15-G15-H15-I15</f>
        <v>75370.25</v>
      </c>
      <c r="K15" s="12">
        <f>1076073.62-C15-D15-E15-F15-G15-H15-I15-J15</f>
        <v>79441.170000000158</v>
      </c>
      <c r="L15" s="12"/>
      <c r="M15" s="17"/>
      <c r="N15" s="13"/>
    </row>
    <row r="16" spans="1:14" ht="63" x14ac:dyDescent="0.5">
      <c r="A16" s="11" t="s">
        <v>28</v>
      </c>
      <c r="B16" s="7">
        <f t="shared" si="1"/>
        <v>811409.7</v>
      </c>
      <c r="C16" s="14">
        <v>0</v>
      </c>
      <c r="D16" s="14">
        <v>0</v>
      </c>
      <c r="E16" s="8">
        <f>17818-C16-D16</f>
        <v>17818</v>
      </c>
      <c r="F16" s="8">
        <f>91282.44-C16-D16-E16</f>
        <v>73464.44</v>
      </c>
      <c r="G16" s="12">
        <f>460115.99-C16-D16-E16-F16</f>
        <v>368833.55</v>
      </c>
      <c r="H16" s="8">
        <f>460115.99-C16-D16-E16-F16-G16</f>
        <v>0</v>
      </c>
      <c r="I16" s="64">
        <f>474299.59-C16-D16-E16-F16-G16-H16</f>
        <v>14183.600000000035</v>
      </c>
      <c r="J16" s="17">
        <f>474299.59-C16-D16-E16-F16-G16-H16-I16</f>
        <v>0</v>
      </c>
      <c r="K16" s="12">
        <f>811409.7-C16-D16-E16-F16-G16-H16-I16-J16</f>
        <v>337110.11</v>
      </c>
      <c r="L16" s="12"/>
      <c r="M16" s="17"/>
      <c r="N16" s="13"/>
    </row>
    <row r="17" spans="1:14" x14ac:dyDescent="0.5">
      <c r="A17" s="11" t="s">
        <v>29</v>
      </c>
      <c r="B17" s="7">
        <f t="shared" si="1"/>
        <v>4295693.6100000003</v>
      </c>
      <c r="C17" s="14">
        <v>0</v>
      </c>
      <c r="D17" s="14">
        <v>0</v>
      </c>
      <c r="E17" s="13">
        <f>1206010.59-C17-D17</f>
        <v>1206010.5900000001</v>
      </c>
      <c r="F17" s="8">
        <f>970010.59-C17-D17-E17</f>
        <v>-236000.00000000012</v>
      </c>
      <c r="G17" s="12">
        <f>2008410.59-C17-D17-E17-F17</f>
        <v>1038400.0000000001</v>
      </c>
      <c r="H17" s="8">
        <f>2120510.59-C17-D17-E17-F17-G17</f>
        <v>112099.99999999988</v>
      </c>
      <c r="I17" s="64">
        <f>2120510.59-C17-D17-E17-F17-G17-H17</f>
        <v>0</v>
      </c>
      <c r="J17" s="17">
        <f>3638210.59-C17-D17-E17-F17-G17-H17-I17</f>
        <v>1517700</v>
      </c>
      <c r="K17" s="12">
        <f>4295693.61-C17-D17-E17-F17-G17-H17-I17-J17</f>
        <v>657483.02000000048</v>
      </c>
      <c r="L17" s="12"/>
      <c r="M17" s="17"/>
      <c r="N17" s="13"/>
    </row>
    <row r="18" spans="1:14" x14ac:dyDescent="0.5">
      <c r="A18" s="11" t="s">
        <v>92</v>
      </c>
      <c r="B18" s="7">
        <f t="shared" si="1"/>
        <v>1720812.15</v>
      </c>
      <c r="C18" s="14">
        <v>0</v>
      </c>
      <c r="D18" s="14">
        <v>0</v>
      </c>
      <c r="E18" s="8">
        <f>560736.99-C18-D18</f>
        <v>560736.99</v>
      </c>
      <c r="F18" s="8">
        <f>873519.76-C18-D18-E18</f>
        <v>312782.77</v>
      </c>
      <c r="G18" s="17">
        <f>1110767.76-C18-D18-E18-F18</f>
        <v>237248</v>
      </c>
      <c r="H18" s="13">
        <f>1374193.99-C18-D18-E18-F18-G18</f>
        <v>263426.23</v>
      </c>
      <c r="I18" s="70">
        <f>1496267.59-C18-D18-E18-F18-G18-H18</f>
        <v>122073.60000000009</v>
      </c>
      <c r="J18" s="17">
        <f>1720812.15-C18-D18-E18-F18-G18-H18-I18</f>
        <v>224544.55999999982</v>
      </c>
      <c r="K18" s="12"/>
      <c r="L18" s="12"/>
      <c r="M18" s="17"/>
      <c r="N18" s="13"/>
    </row>
    <row r="19" spans="1:14" x14ac:dyDescent="0.5">
      <c r="A19" s="6" t="s">
        <v>30</v>
      </c>
      <c r="B19" s="79">
        <f>SUM(B20:B28)</f>
        <v>7690716.1000000006</v>
      </c>
      <c r="C19" s="14">
        <v>0</v>
      </c>
      <c r="D19" s="14">
        <v>0</v>
      </c>
      <c r="I19" s="67"/>
      <c r="J19" s="9"/>
      <c r="K19" s="12"/>
      <c r="L19" s="12"/>
      <c r="M19" s="9"/>
    </row>
    <row r="20" spans="1:14" x14ac:dyDescent="0.5">
      <c r="A20" s="11" t="s">
        <v>31</v>
      </c>
      <c r="B20" s="7">
        <f t="shared" ref="B20:B56" si="2">SUM(C20:N20)</f>
        <v>549541.28</v>
      </c>
      <c r="C20" s="14">
        <v>0</v>
      </c>
      <c r="D20" s="8">
        <f>28350-C20</f>
        <v>28350</v>
      </c>
      <c r="E20" s="8">
        <f>71654.52-C20-D20</f>
        <v>43304.520000000004</v>
      </c>
      <c r="F20" s="8">
        <f>193302.52-C20-D20-E20</f>
        <v>121647.99999999999</v>
      </c>
      <c r="G20" s="12">
        <f>224402.52-C20-D20-E20-F20</f>
        <v>31100.000000000015</v>
      </c>
      <c r="H20" s="8">
        <f>312692.44-C20-D20-E20-F20-G20</f>
        <v>88289.919999999984</v>
      </c>
      <c r="I20" s="64">
        <f>312692.44-C20-D20-E20-F20-G20-H20</f>
        <v>0</v>
      </c>
      <c r="J20" s="17">
        <f>344192.44-C20-D20-E20-F20-G20-H20-I20</f>
        <v>31499.999999999985</v>
      </c>
      <c r="K20" s="12">
        <f>549541.28-C20-D20-E20-F20-G20-H20-I20-J20</f>
        <v>205348.84000000003</v>
      </c>
      <c r="L20" s="12"/>
      <c r="M20" s="17"/>
      <c r="N20" s="13"/>
    </row>
    <row r="21" spans="1:14" x14ac:dyDescent="0.5">
      <c r="A21" s="11" t="s">
        <v>32</v>
      </c>
      <c r="B21" s="7">
        <f t="shared" si="2"/>
        <v>234454.2</v>
      </c>
      <c r="C21" s="14">
        <v>0</v>
      </c>
      <c r="D21" s="14">
        <v>0</v>
      </c>
      <c r="E21" s="13">
        <f>127074.2-C21-D21</f>
        <v>127074.2</v>
      </c>
      <c r="F21" s="13">
        <f>127074.2-C21-D21-E21</f>
        <v>0</v>
      </c>
      <c r="G21" s="17">
        <f>127074.2-C21-D21-E21-F21</f>
        <v>0</v>
      </c>
      <c r="H21" s="13">
        <f>127074.2-C21-D21-E21-F21-G21</f>
        <v>0</v>
      </c>
      <c r="I21" s="70">
        <f>234454.2-C21-D21-E21-F21-G21-H21</f>
        <v>107380.00000000001</v>
      </c>
      <c r="J21" s="83"/>
      <c r="K21" s="12">
        <f>234454.2-C21-D21-E21-F21-G21-H21-I21-J21</f>
        <v>0</v>
      </c>
      <c r="L21" s="12"/>
      <c r="M21" s="9"/>
    </row>
    <row r="22" spans="1:14" x14ac:dyDescent="0.5">
      <c r="A22" s="11" t="s">
        <v>33</v>
      </c>
      <c r="B22" s="7">
        <f t="shared" si="2"/>
        <v>958548.76</v>
      </c>
      <c r="C22" s="14">
        <v>0</v>
      </c>
      <c r="D22" s="14">
        <v>0</v>
      </c>
      <c r="E22" s="8">
        <f>71895.58-C22-D22</f>
        <v>71895.58</v>
      </c>
      <c r="F22" s="8">
        <f>208321.28-C22-D22-E22</f>
        <v>136425.70000000001</v>
      </c>
      <c r="G22" s="12">
        <f>326911.28-C22-D22-E22-F22</f>
        <v>118590</v>
      </c>
      <c r="H22" s="8">
        <f>826411.18-C22-D22-E22-F22-G22</f>
        <v>499499.90000000014</v>
      </c>
      <c r="I22" s="64">
        <f>1382723.36-C22-D22-E22-F22-G22-H22</f>
        <v>556312.17999999993</v>
      </c>
      <c r="J22" s="17">
        <f>1569717.96-C22-D22-E22-F22-G22-H22-I22</f>
        <v>186994.59999999986</v>
      </c>
      <c r="K22" s="12">
        <f>958548.76-C22-D22-E22-F22-G22-H22-I22-J22</f>
        <v>-611169.19999999995</v>
      </c>
      <c r="L22" s="12"/>
      <c r="M22" s="17"/>
      <c r="N22" s="13"/>
    </row>
    <row r="23" spans="1:14" x14ac:dyDescent="0.5">
      <c r="A23" s="11" t="s">
        <v>34</v>
      </c>
      <c r="B23" s="7">
        <f t="shared" si="2"/>
        <v>0</v>
      </c>
      <c r="C23" s="14">
        <v>0</v>
      </c>
      <c r="D23" s="14">
        <v>0</v>
      </c>
      <c r="E23" s="1">
        <v>0</v>
      </c>
      <c r="I23" s="67"/>
      <c r="J23" s="9"/>
      <c r="K23" s="12">
        <f>134970.08-C24-D24-E24-F24-G24-H24-I24-J24</f>
        <v>0</v>
      </c>
      <c r="L23" s="12"/>
      <c r="M23" s="17"/>
    </row>
    <row r="24" spans="1:14" x14ac:dyDescent="0.5">
      <c r="A24" s="11" t="s">
        <v>35</v>
      </c>
      <c r="B24" s="7">
        <f t="shared" si="2"/>
        <v>134970.07999999999</v>
      </c>
      <c r="C24" s="14">
        <v>0</v>
      </c>
      <c r="D24" s="14">
        <v>0</v>
      </c>
      <c r="E24" s="10">
        <f>0-C24-D24</f>
        <v>0</v>
      </c>
      <c r="F24" s="13">
        <f>12390-C24-D24-E24</f>
        <v>12390</v>
      </c>
      <c r="G24" s="17">
        <f>12390-C24-D24-E24-F24</f>
        <v>0</v>
      </c>
      <c r="H24" s="13">
        <f>134970.08-C24-D24-E24-F24-G24</f>
        <v>122580.07999999999</v>
      </c>
      <c r="I24" s="70">
        <f>134970.08-C24-D24-E24-F24-G24-H24</f>
        <v>0</v>
      </c>
      <c r="J24" s="17">
        <f>134970.08-C24-D24-E24-F24-G24-H24-I24</f>
        <v>0</v>
      </c>
      <c r="K24" s="12"/>
      <c r="L24" s="12"/>
      <c r="M24" s="17"/>
      <c r="N24" s="13"/>
    </row>
    <row r="25" spans="1:14" x14ac:dyDescent="0.5">
      <c r="A25" s="11" t="s">
        <v>36</v>
      </c>
      <c r="B25" s="7">
        <f t="shared" si="2"/>
        <v>57820</v>
      </c>
      <c r="C25" s="14">
        <v>0</v>
      </c>
      <c r="D25" s="14">
        <v>0</v>
      </c>
      <c r="G25" s="74">
        <f>0-C25-D25-E25-F25</f>
        <v>0</v>
      </c>
      <c r="H25" s="44">
        <f>57820-C25-D25-E25-F25-G25</f>
        <v>57820</v>
      </c>
      <c r="I25" s="67"/>
      <c r="J25" s="9"/>
      <c r="K25" s="12">
        <f>57820-C25-D25-E25-F25-G25-H25-I25-J25</f>
        <v>0</v>
      </c>
      <c r="L25" s="12"/>
      <c r="M25" s="9"/>
      <c r="N25" s="13"/>
    </row>
    <row r="26" spans="1:14" ht="47.25" customHeight="1" x14ac:dyDescent="0.5">
      <c r="A26" s="11" t="s">
        <v>37</v>
      </c>
      <c r="B26" s="7">
        <f>C26+D26+E26+F26+G26+H26+I26+J26+K26+L26+M26+N26</f>
        <v>4357447.45</v>
      </c>
      <c r="C26" s="18">
        <v>0</v>
      </c>
      <c r="D26" s="14">
        <v>0</v>
      </c>
      <c r="E26" s="19">
        <f>1073000-C26-D26</f>
        <v>1073000</v>
      </c>
      <c r="F26" s="8">
        <f>1830000-C26-D26-E26</f>
        <v>757000</v>
      </c>
      <c r="G26" s="12">
        <f>2226000-C26-D26-E26-F26</f>
        <v>396000</v>
      </c>
      <c r="H26" s="20">
        <f>2622000-C26-D26-E26-F26-G26</f>
        <v>396000</v>
      </c>
      <c r="I26" s="64">
        <f>3596000-C26-D26-E26-F26-G26-H26</f>
        <v>974000</v>
      </c>
      <c r="J26" s="71">
        <f>4364000-C26-D26-E26-F26-G26-H26-I26</f>
        <v>768000</v>
      </c>
      <c r="K26" s="72">
        <f>4357447.45-C26-D26-E26-F26-G26-H26-I26-J26</f>
        <v>-6552.5499999998137</v>
      </c>
      <c r="L26" s="72"/>
      <c r="M26" s="71"/>
      <c r="N26" s="21"/>
    </row>
    <row r="27" spans="1:14" s="22" customFormat="1" ht="63" x14ac:dyDescent="0.5">
      <c r="A27" s="11" t="s">
        <v>38</v>
      </c>
      <c r="B27" s="7">
        <f t="shared" si="2"/>
        <v>0</v>
      </c>
      <c r="C27" s="23">
        <v>0</v>
      </c>
      <c r="D27" s="14">
        <v>0</v>
      </c>
      <c r="G27" s="24"/>
      <c r="I27" s="73"/>
      <c r="J27" s="24"/>
      <c r="K27" s="72"/>
      <c r="L27" s="72"/>
      <c r="M27" s="24"/>
    </row>
    <row r="28" spans="1:14" x14ac:dyDescent="0.5">
      <c r="A28" s="11" t="s">
        <v>39</v>
      </c>
      <c r="B28" s="7">
        <f t="shared" si="2"/>
        <v>1397934.33</v>
      </c>
      <c r="C28" s="14">
        <v>0</v>
      </c>
      <c r="D28" s="14">
        <v>0</v>
      </c>
      <c r="E28" s="8">
        <f>349296.28-C28-D28</f>
        <v>349296.28</v>
      </c>
      <c r="F28" s="8">
        <f>349296.28-C28-D28-E28</f>
        <v>0</v>
      </c>
      <c r="G28" s="12">
        <f>603666.82-C28-D28-E28-F28</f>
        <v>254370.53999999992</v>
      </c>
      <c r="H28" s="8">
        <f>1108650.82-C28-D28-E28-F28-G28</f>
        <v>504984.00000000012</v>
      </c>
      <c r="I28" s="64">
        <f>1134579.85-C28-D28-E28-F28-G28-H28</f>
        <v>25929.030000000028</v>
      </c>
      <c r="J28" s="17">
        <f>1209579.11-C28-D28-E28-F28-G28-H28-I28</f>
        <v>74999.260000000009</v>
      </c>
      <c r="K28" s="12">
        <f>1397934.33-C28-D28-E28-F28-G28-H28-I28-J28</f>
        <v>188355.21999999997</v>
      </c>
      <c r="L28" s="12"/>
      <c r="M28" s="17"/>
      <c r="N28" s="13"/>
    </row>
    <row r="29" spans="1:14" x14ac:dyDescent="0.5">
      <c r="A29" s="6" t="s">
        <v>40</v>
      </c>
      <c r="B29" s="79">
        <f>SUM(B30:B36)</f>
        <v>0</v>
      </c>
      <c r="C29" s="15"/>
      <c r="I29" s="67"/>
      <c r="J29" s="9"/>
      <c r="K29" s="12"/>
      <c r="L29" s="12"/>
      <c r="M29" s="9"/>
    </row>
    <row r="30" spans="1:14" x14ac:dyDescent="0.5">
      <c r="A30" s="11" t="s">
        <v>41</v>
      </c>
      <c r="B30" s="7">
        <f t="shared" si="2"/>
        <v>0</v>
      </c>
      <c r="C30" s="14">
        <v>0</v>
      </c>
      <c r="D30" s="14">
        <v>0</v>
      </c>
      <c r="I30" s="67"/>
      <c r="J30" s="9"/>
      <c r="K30" s="12"/>
      <c r="L30" s="12"/>
      <c r="M30" s="9"/>
    </row>
    <row r="31" spans="1:14" x14ac:dyDescent="0.5">
      <c r="A31" s="11" t="s">
        <v>42</v>
      </c>
      <c r="B31" s="7">
        <f t="shared" si="2"/>
        <v>0</v>
      </c>
      <c r="C31" s="14">
        <v>0</v>
      </c>
      <c r="D31" s="14">
        <v>0</v>
      </c>
      <c r="I31" s="67"/>
      <c r="J31" s="9"/>
      <c r="K31" s="12"/>
      <c r="L31" s="12"/>
      <c r="M31" s="9"/>
    </row>
    <row r="32" spans="1:14" x14ac:dyDescent="0.5">
      <c r="A32" s="11" t="s">
        <v>43</v>
      </c>
      <c r="B32" s="7">
        <f t="shared" si="2"/>
        <v>0</v>
      </c>
      <c r="C32" s="14">
        <v>0</v>
      </c>
      <c r="D32" s="14">
        <v>0</v>
      </c>
      <c r="I32" s="67"/>
      <c r="J32" s="9"/>
      <c r="K32" s="12"/>
      <c r="L32" s="12"/>
      <c r="M32" s="9"/>
    </row>
    <row r="33" spans="1:14" x14ac:dyDescent="0.5">
      <c r="A33" s="11" t="s">
        <v>44</v>
      </c>
      <c r="B33" s="7">
        <f t="shared" si="2"/>
        <v>0</v>
      </c>
      <c r="C33" s="14">
        <v>0</v>
      </c>
      <c r="D33" s="14">
        <v>0</v>
      </c>
      <c r="I33" s="67"/>
      <c r="J33" s="9"/>
      <c r="K33" s="12"/>
      <c r="L33" s="12"/>
      <c r="M33" s="9"/>
    </row>
    <row r="34" spans="1:14" x14ac:dyDescent="0.5">
      <c r="A34" s="11" t="s">
        <v>45</v>
      </c>
      <c r="B34" s="7">
        <f t="shared" si="2"/>
        <v>0</v>
      </c>
      <c r="C34" s="14">
        <v>0</v>
      </c>
      <c r="D34" s="14">
        <v>0</v>
      </c>
      <c r="I34" s="67"/>
      <c r="J34" s="9"/>
      <c r="K34" s="12"/>
      <c r="L34" s="12"/>
      <c r="M34" s="9"/>
    </row>
    <row r="35" spans="1:14" x14ac:dyDescent="0.5">
      <c r="A35" s="11" t="s">
        <v>46</v>
      </c>
      <c r="B35" s="7">
        <f t="shared" si="2"/>
        <v>0</v>
      </c>
      <c r="C35" s="14">
        <v>0</v>
      </c>
      <c r="D35" s="14">
        <v>0</v>
      </c>
      <c r="I35" s="67"/>
      <c r="J35" s="9"/>
      <c r="K35" s="12"/>
      <c r="L35" s="12"/>
      <c r="M35" s="9"/>
    </row>
    <row r="36" spans="1:14" x14ac:dyDescent="0.5">
      <c r="A36" s="11" t="s">
        <v>47</v>
      </c>
      <c r="B36" s="7">
        <f t="shared" si="2"/>
        <v>0</v>
      </c>
      <c r="C36" s="14">
        <v>0</v>
      </c>
      <c r="D36" s="14">
        <v>0</v>
      </c>
      <c r="I36" s="67"/>
      <c r="J36" s="9"/>
      <c r="K36" s="12"/>
      <c r="L36" s="12"/>
      <c r="M36" s="9"/>
    </row>
    <row r="37" spans="1:14" x14ac:dyDescent="0.5">
      <c r="A37" s="6" t="s">
        <v>48</v>
      </c>
      <c r="B37" s="79">
        <f>SUM(B38:B44)</f>
        <v>0</v>
      </c>
      <c r="C37" s="15"/>
      <c r="I37" s="67"/>
      <c r="J37" s="9"/>
      <c r="K37" s="12"/>
      <c r="L37" s="12"/>
      <c r="M37" s="9"/>
    </row>
    <row r="38" spans="1:14" x14ac:dyDescent="0.5">
      <c r="A38" s="11" t="s">
        <v>49</v>
      </c>
      <c r="B38" s="7">
        <f t="shared" si="2"/>
        <v>0</v>
      </c>
      <c r="C38" s="14"/>
      <c r="I38" s="67"/>
      <c r="J38" s="9"/>
      <c r="K38" s="12"/>
      <c r="L38" s="12"/>
      <c r="M38" s="9"/>
    </row>
    <row r="39" spans="1:14" x14ac:dyDescent="0.5">
      <c r="A39" s="11" t="s">
        <v>50</v>
      </c>
      <c r="B39" s="7">
        <f t="shared" si="2"/>
        <v>0</v>
      </c>
      <c r="C39" s="14"/>
      <c r="I39" s="67"/>
      <c r="J39" s="9"/>
      <c r="K39" s="12"/>
      <c r="L39" s="12"/>
      <c r="M39" s="9"/>
    </row>
    <row r="40" spans="1:14" x14ac:dyDescent="0.5">
      <c r="A40" s="11" t="s">
        <v>51</v>
      </c>
      <c r="B40" s="7">
        <f t="shared" si="2"/>
        <v>0</v>
      </c>
      <c r="C40" s="14"/>
      <c r="I40" s="67"/>
      <c r="J40" s="9"/>
      <c r="K40" s="12"/>
      <c r="L40" s="12"/>
      <c r="M40" s="9"/>
    </row>
    <row r="41" spans="1:14" x14ac:dyDescent="0.5">
      <c r="A41" s="11" t="s">
        <v>52</v>
      </c>
      <c r="B41" s="7">
        <f t="shared" si="2"/>
        <v>0</v>
      </c>
      <c r="C41" s="14"/>
      <c r="I41" s="67"/>
      <c r="J41" s="9"/>
      <c r="K41" s="12"/>
      <c r="L41" s="12"/>
      <c r="M41" s="9"/>
    </row>
    <row r="42" spans="1:14" x14ac:dyDescent="0.5">
      <c r="A42" s="11" t="s">
        <v>53</v>
      </c>
      <c r="B42" s="7">
        <f t="shared" si="2"/>
        <v>0</v>
      </c>
      <c r="C42" s="14"/>
      <c r="I42" s="67"/>
      <c r="J42" s="9"/>
      <c r="K42" s="12"/>
      <c r="L42" s="12"/>
      <c r="M42" s="9"/>
    </row>
    <row r="43" spans="1:14" x14ac:dyDescent="0.5">
      <c r="A43" s="11" t="s">
        <v>54</v>
      </c>
      <c r="B43" s="7">
        <f t="shared" si="2"/>
        <v>0</v>
      </c>
      <c r="C43" s="14"/>
      <c r="I43" s="67"/>
      <c r="J43" s="9"/>
      <c r="K43" s="12"/>
      <c r="L43" s="12"/>
      <c r="M43" s="9"/>
    </row>
    <row r="44" spans="1:14" x14ac:dyDescent="0.5">
      <c r="A44" s="11" t="s">
        <v>55</v>
      </c>
      <c r="B44" s="7">
        <f t="shared" si="2"/>
        <v>0</v>
      </c>
      <c r="C44" s="14"/>
      <c r="I44" s="67"/>
      <c r="J44" s="9"/>
      <c r="K44" s="12"/>
      <c r="L44" s="12"/>
      <c r="M44" s="9"/>
    </row>
    <row r="45" spans="1:14" x14ac:dyDescent="0.5">
      <c r="A45" s="6" t="s">
        <v>56</v>
      </c>
      <c r="B45" s="79">
        <f>SUM(B46:B54)</f>
        <v>2083460.38</v>
      </c>
      <c r="C45" s="15"/>
      <c r="I45" s="67"/>
      <c r="J45" s="9"/>
      <c r="K45" s="12"/>
      <c r="L45" s="12"/>
      <c r="M45" s="9"/>
    </row>
    <row r="46" spans="1:14" x14ac:dyDescent="0.5">
      <c r="A46" s="11" t="s">
        <v>57</v>
      </c>
      <c r="B46" s="7">
        <f t="shared" si="2"/>
        <v>1155456.46</v>
      </c>
      <c r="C46" s="14">
        <v>0</v>
      </c>
      <c r="E46" s="8">
        <f>0-C46-D46</f>
        <v>0</v>
      </c>
      <c r="F46" s="8">
        <f>82473.85-C46-D46-E46</f>
        <v>82473.850000000006</v>
      </c>
      <c r="G46" s="12">
        <f>843925.66-C46-D46-E46-F46</f>
        <v>761451.81</v>
      </c>
      <c r="H46" s="8">
        <f>843925.66-C46-D46-E46-F46-G46</f>
        <v>0</v>
      </c>
      <c r="I46" s="64">
        <f>1063700.66-C46-D46-E46-F46-G46-H46</f>
        <v>219774.99999999988</v>
      </c>
      <c r="J46" s="17">
        <f>1063700.66-C46-D46-E46-F46-G46-H46-I46</f>
        <v>0</v>
      </c>
      <c r="K46" s="12">
        <f>1155456.46-C46-D46-E46-F46-G46-H46-I46-J46</f>
        <v>91755.79999999993</v>
      </c>
      <c r="L46" s="12"/>
      <c r="M46" s="17"/>
      <c r="N46" s="13"/>
    </row>
    <row r="47" spans="1:14" x14ac:dyDescent="0.5">
      <c r="A47" s="11" t="s">
        <v>58</v>
      </c>
      <c r="B47" s="7">
        <f t="shared" si="2"/>
        <v>152751</v>
      </c>
      <c r="C47" s="14">
        <v>0</v>
      </c>
      <c r="E47" s="44">
        <f>0-C47-D47</f>
        <v>0</v>
      </c>
      <c r="G47" s="74">
        <f>0-C47-D47-E47-F47</f>
        <v>0</v>
      </c>
      <c r="H47" s="1">
        <v>0</v>
      </c>
      <c r="I47" s="82">
        <f>152751-C47-D47-E47-F47-G47-H47</f>
        <v>152751</v>
      </c>
      <c r="J47" s="74">
        <f>152751-C47-D47-E47-F47-G47-H47-I47</f>
        <v>0</v>
      </c>
      <c r="K47" s="12">
        <f>152751-C47-D47-E47-F47-G47-H47-I47-J47</f>
        <v>0</v>
      </c>
      <c r="L47" s="12"/>
      <c r="M47" s="17"/>
    </row>
    <row r="48" spans="1:14" x14ac:dyDescent="0.5">
      <c r="A48" s="11" t="s">
        <v>59</v>
      </c>
      <c r="B48" s="7">
        <f t="shared" si="2"/>
        <v>0</v>
      </c>
      <c r="C48" s="14">
        <v>0</v>
      </c>
      <c r="E48" s="44">
        <f>0-C48-D48</f>
        <v>0</v>
      </c>
      <c r="I48" s="67"/>
      <c r="J48" s="74"/>
      <c r="K48" s="12"/>
      <c r="L48" s="12"/>
      <c r="M48" s="17"/>
      <c r="N48" s="13"/>
    </row>
    <row r="49" spans="1:14" x14ac:dyDescent="0.5">
      <c r="A49" s="11" t="s">
        <v>60</v>
      </c>
      <c r="B49" s="7">
        <f t="shared" si="2"/>
        <v>0</v>
      </c>
      <c r="C49" s="14">
        <v>0</v>
      </c>
      <c r="E49" s="44">
        <f>0-C49-D49</f>
        <v>0</v>
      </c>
      <c r="F49" s="8">
        <f>0-C49-D49-E49</f>
        <v>0</v>
      </c>
      <c r="G49" s="12">
        <f>0-C49-D49-E49-F49</f>
        <v>0</v>
      </c>
      <c r="H49" s="8"/>
      <c r="I49" s="64"/>
      <c r="J49" s="17">
        <f>0-C49-D49-E49-F49-G49-H49-I49</f>
        <v>0</v>
      </c>
      <c r="K49" s="12"/>
      <c r="L49" s="12"/>
      <c r="M49" s="9"/>
    </row>
    <row r="50" spans="1:14" x14ac:dyDescent="0.5">
      <c r="A50" s="11" t="s">
        <v>61</v>
      </c>
      <c r="B50" s="7">
        <f t="shared" si="2"/>
        <v>775252.92</v>
      </c>
      <c r="C50" s="14">
        <v>0</v>
      </c>
      <c r="E50" s="44">
        <f>0-C50-D50</f>
        <v>0</v>
      </c>
      <c r="F50" s="8">
        <f>0-C50-D50-E50</f>
        <v>0</v>
      </c>
      <c r="G50" s="17">
        <f>0-C50-D50-E50-F50</f>
        <v>0</v>
      </c>
      <c r="H50" s="8">
        <f>79414-C50-D50-E50-F50-G50</f>
        <v>79414</v>
      </c>
      <c r="I50" s="64">
        <f>775252.92-C50-D50-E50-F50-G50-H50</f>
        <v>695838.92</v>
      </c>
      <c r="J50" s="17">
        <f>775252.92-C50-D50-E50-F50-G50-H50-I50</f>
        <v>0</v>
      </c>
      <c r="K50" s="12">
        <f>775252.92-C50-D50-E50-F50-G50-H50-I50-J50</f>
        <v>0</v>
      </c>
      <c r="L50" s="12"/>
      <c r="M50" s="17"/>
      <c r="N50" s="13"/>
    </row>
    <row r="51" spans="1:14" x14ac:dyDescent="0.5">
      <c r="A51" s="11" t="s">
        <v>62</v>
      </c>
      <c r="B51" s="7">
        <f t="shared" si="2"/>
        <v>0</v>
      </c>
      <c r="C51" s="14">
        <v>0</v>
      </c>
      <c r="I51" s="67"/>
      <c r="J51" s="9"/>
      <c r="K51" s="12"/>
      <c r="L51" s="12"/>
      <c r="M51" s="9"/>
    </row>
    <row r="52" spans="1:14" x14ac:dyDescent="0.5">
      <c r="A52" s="11" t="s">
        <v>63</v>
      </c>
      <c r="B52" s="7">
        <f t="shared" si="2"/>
        <v>0</v>
      </c>
      <c r="C52" s="14">
        <v>0</v>
      </c>
      <c r="I52" s="67"/>
      <c r="J52" s="9"/>
      <c r="K52" s="12"/>
      <c r="L52" s="12"/>
      <c r="M52" s="9"/>
    </row>
    <row r="53" spans="1:14" x14ac:dyDescent="0.5">
      <c r="A53" s="11" t="s">
        <v>64</v>
      </c>
      <c r="B53" s="7">
        <f t="shared" si="2"/>
        <v>0</v>
      </c>
      <c r="C53" s="14">
        <v>0</v>
      </c>
      <c r="F53" s="44">
        <f>0-C53-D53-E53</f>
        <v>0</v>
      </c>
      <c r="G53" s="74">
        <f>0-C53-D53-E53-F53</f>
        <v>0</v>
      </c>
      <c r="I53" s="67"/>
      <c r="J53" s="9"/>
      <c r="K53" s="12"/>
      <c r="L53" s="12"/>
      <c r="M53" s="17"/>
      <c r="N53" s="13"/>
    </row>
    <row r="54" spans="1:14" x14ac:dyDescent="0.5">
      <c r="A54" s="11" t="s">
        <v>65</v>
      </c>
      <c r="B54" s="8">
        <f t="shared" si="2"/>
        <v>0</v>
      </c>
      <c r="C54" s="14">
        <v>0</v>
      </c>
      <c r="I54" s="67"/>
      <c r="J54" s="9"/>
      <c r="K54" s="12"/>
      <c r="L54" s="12"/>
      <c r="M54" s="9"/>
    </row>
    <row r="55" spans="1:14" x14ac:dyDescent="0.5">
      <c r="A55" s="6" t="s">
        <v>66</v>
      </c>
      <c r="B55" s="29">
        <f>SUM(B56:B59)</f>
        <v>0</v>
      </c>
      <c r="C55" s="15"/>
      <c r="I55" s="67"/>
      <c r="J55" s="9"/>
      <c r="K55" s="12"/>
      <c r="L55" s="12"/>
      <c r="M55" s="9"/>
    </row>
    <row r="56" spans="1:14" x14ac:dyDescent="0.5">
      <c r="A56" s="11" t="s">
        <v>67</v>
      </c>
      <c r="B56" s="8">
        <f t="shared" si="2"/>
        <v>0</v>
      </c>
      <c r="C56" s="14"/>
      <c r="E56" s="44">
        <f>0-C56-D56</f>
        <v>0</v>
      </c>
      <c r="F56" s="13">
        <f>0-C56-D56-E56</f>
        <v>0</v>
      </c>
      <c r="G56" s="17">
        <f>0-C56-D56-E56-F56</f>
        <v>0</v>
      </c>
      <c r="H56" s="13">
        <v>0</v>
      </c>
      <c r="I56" s="67"/>
      <c r="J56" s="83">
        <f>0-C56-D56-E56-F56-G56-H56-I56</f>
        <v>0</v>
      </c>
      <c r="K56" s="12">
        <v>0</v>
      </c>
      <c r="L56" s="12"/>
      <c r="M56" s="9"/>
    </row>
    <row r="57" spans="1:14" x14ac:dyDescent="0.5">
      <c r="A57" s="11" t="s">
        <v>68</v>
      </c>
      <c r="C57" s="14"/>
      <c r="I57" s="67"/>
      <c r="J57" s="9"/>
      <c r="K57" s="12"/>
      <c r="L57" s="12"/>
      <c r="M57" s="9"/>
    </row>
    <row r="58" spans="1:14" x14ac:dyDescent="0.5">
      <c r="A58" s="11" t="s">
        <v>69</v>
      </c>
      <c r="C58" s="14"/>
      <c r="I58" s="67"/>
      <c r="J58" s="9"/>
      <c r="K58" s="12"/>
      <c r="L58" s="12"/>
      <c r="M58" s="9"/>
    </row>
    <row r="59" spans="1:14" ht="63" x14ac:dyDescent="0.5">
      <c r="A59" s="11" t="s">
        <v>70</v>
      </c>
      <c r="C59" s="14"/>
      <c r="I59" s="67"/>
      <c r="J59" s="9"/>
      <c r="K59" s="12"/>
      <c r="L59" s="12"/>
      <c r="M59" s="9"/>
    </row>
    <row r="60" spans="1:14" x14ac:dyDescent="0.5">
      <c r="A60" s="6" t="s">
        <v>71</v>
      </c>
      <c r="B60" s="29">
        <f>SUM(B61:B62)</f>
        <v>0</v>
      </c>
      <c r="C60" s="15"/>
      <c r="I60" s="67"/>
      <c r="J60" s="9"/>
      <c r="K60" s="12"/>
      <c r="L60" s="12"/>
      <c r="M60" s="9"/>
    </row>
    <row r="61" spans="1:14" x14ac:dyDescent="0.5">
      <c r="A61" s="11" t="s">
        <v>72</v>
      </c>
      <c r="C61" s="14"/>
      <c r="I61" s="67"/>
      <c r="J61" s="9"/>
      <c r="K61" s="12"/>
      <c r="L61" s="12"/>
      <c r="M61" s="9"/>
    </row>
    <row r="62" spans="1:14" x14ac:dyDescent="0.5">
      <c r="A62" s="11" t="s">
        <v>73</v>
      </c>
      <c r="C62" s="14"/>
      <c r="I62" s="67"/>
      <c r="J62" s="9"/>
      <c r="K62" s="12"/>
      <c r="L62" s="12"/>
      <c r="M62" s="9"/>
    </row>
    <row r="63" spans="1:14" x14ac:dyDescent="0.5">
      <c r="A63" s="6" t="s">
        <v>74</v>
      </c>
      <c r="B63" s="29">
        <f>SUM(B64:B66)</f>
        <v>0</v>
      </c>
      <c r="C63" s="15"/>
      <c r="I63" s="67"/>
      <c r="J63" s="9"/>
      <c r="K63" s="12"/>
      <c r="L63" s="12"/>
      <c r="M63" s="9"/>
    </row>
    <row r="64" spans="1:14" x14ac:dyDescent="0.5">
      <c r="A64" s="11" t="s">
        <v>75</v>
      </c>
      <c r="C64" s="14"/>
      <c r="I64" s="67"/>
      <c r="J64" s="9"/>
      <c r="K64" s="12"/>
      <c r="L64" s="12"/>
      <c r="M64" s="9"/>
      <c r="N64" s="8"/>
    </row>
    <row r="65" spans="1:14" x14ac:dyDescent="0.5">
      <c r="A65" s="11" t="s">
        <v>76</v>
      </c>
      <c r="C65" s="14"/>
      <c r="I65" s="67"/>
      <c r="J65" s="9"/>
      <c r="K65" s="12"/>
      <c r="L65" s="12"/>
      <c r="M65" s="9"/>
    </row>
    <row r="66" spans="1:14" x14ac:dyDescent="0.5">
      <c r="A66" s="11" t="s">
        <v>77</v>
      </c>
      <c r="C66" s="14"/>
      <c r="I66" s="67"/>
      <c r="J66" s="9"/>
      <c r="K66" s="12"/>
      <c r="L66" s="12"/>
      <c r="M66" s="9"/>
    </row>
    <row r="67" spans="1:14" s="9" customFormat="1" ht="46.5" x14ac:dyDescent="0.5">
      <c r="A67" s="54" t="s">
        <v>78</v>
      </c>
      <c r="B67" s="42">
        <f>B3+B9+B19+B45</f>
        <v>181905835.94999999</v>
      </c>
      <c r="C67" s="34">
        <f t="shared" ref="C67:H67" si="3">SUM(C4:C66)</f>
        <v>14197672.819999998</v>
      </c>
      <c r="D67" s="34">
        <f t="shared" si="3"/>
        <v>14200364.84</v>
      </c>
      <c r="E67" s="25">
        <f t="shared" si="3"/>
        <v>19602428.580000002</v>
      </c>
      <c r="F67" s="25">
        <f t="shared" si="3"/>
        <v>18599123.629999995</v>
      </c>
      <c r="G67" s="25">
        <f t="shared" si="3"/>
        <v>20098699.029999997</v>
      </c>
      <c r="H67" s="25">
        <f t="shared" si="3"/>
        <v>12994795.080000006</v>
      </c>
      <c r="I67" s="35">
        <f>99693083.98-B67</f>
        <v>-82212751.969999984</v>
      </c>
      <c r="J67" s="25">
        <f t="shared" ref="J67:N67" si="4">SUM(J4:J66)</f>
        <v>39244449.850000001</v>
      </c>
      <c r="K67" s="36">
        <f t="shared" si="4"/>
        <v>18205376.210000012</v>
      </c>
      <c r="L67" s="36">
        <f t="shared" si="4"/>
        <v>0</v>
      </c>
      <c r="M67" s="36">
        <f t="shared" si="4"/>
        <v>0</v>
      </c>
      <c r="N67" s="25">
        <f t="shared" si="4"/>
        <v>0</v>
      </c>
    </row>
    <row r="68" spans="1:14" x14ac:dyDescent="0.5">
      <c r="A68" s="11"/>
      <c r="C68" s="14"/>
      <c r="I68" s="9"/>
      <c r="J68" s="9"/>
      <c r="K68" s="12"/>
      <c r="L68" s="12"/>
      <c r="M68" s="9"/>
    </row>
    <row r="69" spans="1:14" x14ac:dyDescent="0.5">
      <c r="A69" s="2" t="s">
        <v>79</v>
      </c>
      <c r="B69" s="26"/>
      <c r="C69" s="27"/>
      <c r="D69" s="27"/>
      <c r="E69" s="27"/>
      <c r="F69" s="27"/>
      <c r="G69" s="28"/>
      <c r="H69" s="27"/>
      <c r="I69" s="28"/>
      <c r="J69" s="28"/>
      <c r="K69" s="77"/>
      <c r="L69" s="77"/>
      <c r="M69" s="28"/>
      <c r="N69" s="27"/>
    </row>
    <row r="70" spans="1:14" x14ac:dyDescent="0.5">
      <c r="A70" s="6" t="s">
        <v>80</v>
      </c>
      <c r="B70" s="29">
        <f>B71+B72</f>
        <v>0</v>
      </c>
      <c r="C70" s="15"/>
      <c r="H70" s="13">
        <f>H71+H72</f>
        <v>0</v>
      </c>
      <c r="I70" s="17"/>
      <c r="J70" s="9"/>
      <c r="K70" s="12"/>
      <c r="L70" s="12"/>
      <c r="M70" s="9"/>
    </row>
    <row r="71" spans="1:14" x14ac:dyDescent="0.5">
      <c r="A71" s="11" t="s">
        <v>81</v>
      </c>
      <c r="C71" s="14">
        <v>0</v>
      </c>
      <c r="D71" s="14">
        <v>0</v>
      </c>
      <c r="F71" s="8">
        <f>48000466.24-B67</f>
        <v>-133905369.70999998</v>
      </c>
      <c r="I71" s="9"/>
      <c r="J71" s="17">
        <f>J67-16040588.28</f>
        <v>23203861.57</v>
      </c>
      <c r="K71" s="12">
        <f>K67-1205490.42</f>
        <v>16999885.790000014</v>
      </c>
      <c r="L71" s="12">
        <f>L67-22004361.39</f>
        <v>-22004361.390000001</v>
      </c>
      <c r="M71" s="9"/>
    </row>
    <row r="72" spans="1:14" x14ac:dyDescent="0.5">
      <c r="A72" s="11" t="s">
        <v>82</v>
      </c>
      <c r="C72" s="14">
        <v>0</v>
      </c>
      <c r="D72" s="14">
        <v>0</v>
      </c>
      <c r="H72" s="13"/>
      <c r="I72" s="9"/>
      <c r="J72" s="9"/>
      <c r="K72" s="12"/>
      <c r="L72" s="12"/>
      <c r="M72" s="9"/>
    </row>
    <row r="73" spans="1:14" x14ac:dyDescent="0.5">
      <c r="A73" s="6" t="s">
        <v>83</v>
      </c>
      <c r="B73" s="29">
        <f>B74+B75</f>
        <v>0</v>
      </c>
      <c r="C73" s="15"/>
      <c r="I73" s="9"/>
      <c r="J73" s="9"/>
      <c r="K73" s="12"/>
      <c r="L73" s="12"/>
      <c r="M73" s="9"/>
    </row>
    <row r="74" spans="1:14" x14ac:dyDescent="0.5">
      <c r="A74" s="11" t="s">
        <v>84</v>
      </c>
      <c r="B74" s="7">
        <f>SUM(C74:N74)</f>
        <v>0</v>
      </c>
      <c r="C74" s="14">
        <v>0</v>
      </c>
      <c r="D74" s="14">
        <v>0</v>
      </c>
      <c r="E74" s="13"/>
      <c r="F74" s="10"/>
      <c r="G74" s="17"/>
      <c r="H74" s="13"/>
      <c r="I74" s="17"/>
      <c r="J74" s="17"/>
      <c r="K74" s="12"/>
      <c r="L74" s="12"/>
      <c r="M74" s="17"/>
    </row>
    <row r="75" spans="1:14" x14ac:dyDescent="0.5">
      <c r="A75" s="11" t="s">
        <v>85</v>
      </c>
      <c r="C75" s="14">
        <v>0</v>
      </c>
      <c r="D75" s="14">
        <v>0</v>
      </c>
      <c r="I75" s="9"/>
      <c r="J75" s="9"/>
      <c r="K75" s="12"/>
      <c r="L75" s="12"/>
      <c r="M75" s="9"/>
    </row>
    <row r="76" spans="1:14" x14ac:dyDescent="0.5">
      <c r="A76" s="6" t="s">
        <v>86</v>
      </c>
      <c r="B76" s="29">
        <f>B77</f>
        <v>0</v>
      </c>
      <c r="C76" s="15"/>
      <c r="D76" s="8"/>
      <c r="I76" s="9"/>
      <c r="J76" s="9"/>
      <c r="K76" s="12"/>
      <c r="L76" s="12"/>
      <c r="M76" s="9"/>
    </row>
    <row r="77" spans="1:14" x14ac:dyDescent="0.5">
      <c r="A77" s="11" t="s">
        <v>87</v>
      </c>
      <c r="C77" s="14">
        <v>0</v>
      </c>
      <c r="D77" s="14">
        <v>0</v>
      </c>
      <c r="I77" s="9"/>
      <c r="J77" s="9"/>
      <c r="K77" s="12"/>
      <c r="L77" s="12"/>
      <c r="M77" s="9"/>
    </row>
    <row r="78" spans="1:14" s="9" customFormat="1" x14ac:dyDescent="0.5">
      <c r="A78" s="33" t="s">
        <v>88</v>
      </c>
      <c r="B78" s="43">
        <f>B70+B73+B76</f>
        <v>0</v>
      </c>
      <c r="C78" s="25"/>
      <c r="E78" s="25"/>
      <c r="F78" s="34">
        <f>SUM(F69:F77)</f>
        <v>-133905369.70999998</v>
      </c>
      <c r="G78" s="34">
        <f>SUM(G69:G77)</f>
        <v>0</v>
      </c>
      <c r="H78" s="25"/>
      <c r="I78" s="25"/>
      <c r="J78" s="25"/>
      <c r="K78" s="36"/>
      <c r="L78" s="36"/>
      <c r="M78" s="25"/>
      <c r="N78" s="25"/>
    </row>
    <row r="79" spans="1:14" x14ac:dyDescent="0.5">
      <c r="A79" s="47"/>
      <c r="I79" s="9"/>
      <c r="J79" s="9"/>
      <c r="K79" s="12"/>
      <c r="L79" s="12"/>
      <c r="M79" s="9"/>
    </row>
    <row r="80" spans="1:14" s="9" customFormat="1" x14ac:dyDescent="0.5">
      <c r="A80" s="33" t="s">
        <v>89</v>
      </c>
      <c r="B80" s="37">
        <f t="shared" ref="B80:G80" si="5">SUM(B78,B67)</f>
        <v>181905835.94999999</v>
      </c>
      <c r="C80" s="38">
        <f t="shared" si="5"/>
        <v>14197672.819999998</v>
      </c>
      <c r="D80" s="38">
        <f t="shared" si="5"/>
        <v>14200364.84</v>
      </c>
      <c r="E80" s="39">
        <f t="shared" si="5"/>
        <v>19602428.580000002</v>
      </c>
      <c r="F80" s="39">
        <f t="shared" si="5"/>
        <v>-115306246.07999998</v>
      </c>
      <c r="G80" s="39">
        <f t="shared" si="5"/>
        <v>20098699.029999997</v>
      </c>
      <c r="H80" s="35">
        <f t="shared" ref="H80:N80" si="6">SUM(H78,H67)</f>
        <v>12994795.080000006</v>
      </c>
      <c r="I80" s="35">
        <f t="shared" si="6"/>
        <v>-82212751.969999984</v>
      </c>
      <c r="J80" s="35">
        <f t="shared" si="6"/>
        <v>39244449.850000001</v>
      </c>
      <c r="K80" s="37">
        <f t="shared" si="6"/>
        <v>18205376.210000012</v>
      </c>
      <c r="L80" s="37">
        <f t="shared" si="6"/>
        <v>0</v>
      </c>
      <c r="M80" s="37">
        <f t="shared" si="6"/>
        <v>0</v>
      </c>
      <c r="N80" s="35">
        <f t="shared" si="6"/>
        <v>0</v>
      </c>
    </row>
    <row r="81" spans="1:13" x14ac:dyDescent="0.5">
      <c r="I81" s="9"/>
      <c r="J81" s="9"/>
      <c r="K81" s="12"/>
      <c r="L81" s="12"/>
      <c r="M81" s="9"/>
    </row>
    <row r="82" spans="1:13" x14ac:dyDescent="0.5">
      <c r="I82" s="9"/>
      <c r="J82" s="9"/>
      <c r="K82" s="12"/>
      <c r="L82" s="12"/>
      <c r="M82" s="9"/>
    </row>
    <row r="83" spans="1:13" x14ac:dyDescent="0.5">
      <c r="B83" s="8">
        <f>163700459.74-B80</f>
        <v>-18205376.209999979</v>
      </c>
      <c r="I83" s="9"/>
      <c r="J83" s="9"/>
      <c r="K83" s="12"/>
      <c r="L83" s="12"/>
      <c r="M83" s="9"/>
    </row>
    <row r="84" spans="1:13" x14ac:dyDescent="0.5">
      <c r="I84" s="9"/>
      <c r="J84" s="9"/>
      <c r="K84" s="12"/>
      <c r="L84" s="12"/>
      <c r="M84" s="9"/>
    </row>
    <row r="85" spans="1:13" x14ac:dyDescent="0.5">
      <c r="I85" s="9"/>
      <c r="J85" s="9"/>
      <c r="K85" s="12"/>
      <c r="L85" s="12"/>
      <c r="M85" s="9"/>
    </row>
    <row r="86" spans="1:13" x14ac:dyDescent="0.5">
      <c r="I86" s="9"/>
      <c r="J86" s="9"/>
      <c r="K86" s="12"/>
      <c r="L86" s="12"/>
      <c r="M86" s="9"/>
    </row>
    <row r="87" spans="1:13" x14ac:dyDescent="0.5">
      <c r="I87" s="9"/>
      <c r="J87" s="9"/>
      <c r="K87" s="12"/>
      <c r="L87" s="12"/>
      <c r="M87" s="9"/>
    </row>
    <row r="88" spans="1:13" ht="139.5" x14ac:dyDescent="0.7">
      <c r="A88" s="84" t="s">
        <v>90</v>
      </c>
      <c r="B88" s="52"/>
      <c r="C88" s="50"/>
      <c r="D88" s="50"/>
      <c r="E88" s="50"/>
      <c r="I88" s="9"/>
      <c r="J88" s="9"/>
      <c r="K88" s="12"/>
      <c r="L88" s="12"/>
      <c r="M88" s="9"/>
    </row>
    <row r="89" spans="1:13" ht="46.5" x14ac:dyDescent="0.7">
      <c r="B89" s="51"/>
      <c r="C89" s="52"/>
      <c r="D89" s="50"/>
      <c r="E89" s="50"/>
      <c r="I89" s="9"/>
      <c r="J89" s="9"/>
      <c r="K89" s="12"/>
      <c r="L89" s="12"/>
      <c r="M89" s="9"/>
    </row>
    <row r="90" spans="1:13" ht="46.5" x14ac:dyDescent="0.7">
      <c r="A90" s="85" t="s">
        <v>94</v>
      </c>
      <c r="B90" s="85"/>
      <c r="C90" s="85"/>
      <c r="D90" s="80"/>
      <c r="E90" s="50"/>
      <c r="I90" s="9"/>
      <c r="J90" s="9"/>
      <c r="K90" s="12"/>
      <c r="L90" s="12"/>
      <c r="M90" s="9"/>
    </row>
    <row r="91" spans="1:13" ht="46.5" x14ac:dyDescent="0.7">
      <c r="A91" s="85" t="s">
        <v>91</v>
      </c>
      <c r="B91" s="85"/>
      <c r="C91" s="85"/>
      <c r="D91" s="81"/>
      <c r="E91" s="50"/>
      <c r="I91" s="9"/>
      <c r="J91" s="9"/>
      <c r="K91" s="12"/>
      <c r="L91" s="12"/>
      <c r="M91" s="9"/>
    </row>
    <row r="92" spans="1:13" x14ac:dyDescent="0.5">
      <c r="I92" s="9"/>
      <c r="J92" s="9"/>
      <c r="K92" s="12"/>
      <c r="L92" s="12"/>
      <c r="M92" s="9"/>
    </row>
    <row r="93" spans="1:13" x14ac:dyDescent="0.5">
      <c r="I93" s="9"/>
      <c r="J93" s="9"/>
      <c r="K93" s="12"/>
      <c r="L93" s="12"/>
      <c r="M93" s="9"/>
    </row>
    <row r="102" spans="1:12" ht="46.5" x14ac:dyDescent="0.7">
      <c r="A102" s="48"/>
      <c r="B102" s="49"/>
      <c r="C102" s="50"/>
      <c r="D102" s="50"/>
      <c r="E102" s="50"/>
      <c r="F102" s="50"/>
    </row>
    <row r="103" spans="1:12" ht="46.5" x14ac:dyDescent="0.7">
      <c r="A103" s="48"/>
      <c r="B103" s="51" t="s">
        <v>90</v>
      </c>
      <c r="C103" s="52"/>
      <c r="D103" s="50"/>
      <c r="E103" s="50"/>
      <c r="F103" s="50"/>
      <c r="H103" s="13"/>
    </row>
    <row r="104" spans="1:12" ht="46.5" x14ac:dyDescent="0.7">
      <c r="A104" s="48"/>
      <c r="B104" s="51"/>
      <c r="C104" s="52"/>
      <c r="D104" s="50"/>
      <c r="E104" s="50"/>
      <c r="F104" s="50"/>
      <c r="H104" s="13"/>
    </row>
    <row r="105" spans="1:12" ht="51" x14ac:dyDescent="0.75">
      <c r="A105" s="48"/>
      <c r="B105" s="53" t="s">
        <v>93</v>
      </c>
      <c r="C105" s="52"/>
      <c r="D105" s="50"/>
      <c r="E105" s="50"/>
      <c r="F105" s="50"/>
    </row>
    <row r="106" spans="1:12" ht="46.5" x14ac:dyDescent="0.7">
      <c r="A106" s="48"/>
      <c r="B106" s="51" t="s">
        <v>91</v>
      </c>
      <c r="C106" s="52"/>
      <c r="D106" s="50"/>
      <c r="E106" s="50"/>
      <c r="F106" s="50"/>
    </row>
    <row r="107" spans="1:12" ht="33.75" x14ac:dyDescent="0.5">
      <c r="B107" s="46"/>
      <c r="C107" s="45"/>
      <c r="D107" s="45"/>
      <c r="E107" s="45"/>
    </row>
    <row r="108" spans="1:12" x14ac:dyDescent="0.5">
      <c r="H108" s="13">
        <f>B80-81234027.92</f>
        <v>100671808.02999999</v>
      </c>
    </row>
    <row r="109" spans="1:12" x14ac:dyDescent="0.5">
      <c r="B109" s="8">
        <f>B80-158182464.6</f>
        <v>23723371.349999994</v>
      </c>
      <c r="C109" s="8">
        <f>B80-158036473.82</f>
        <v>23869362.129999995</v>
      </c>
      <c r="L109" s="58">
        <f>L80-17012173.68</f>
        <v>-17012173.68</v>
      </c>
    </row>
    <row r="110" spans="1:12" x14ac:dyDescent="0.5">
      <c r="A110" s="41"/>
    </row>
    <row r="111" spans="1:12" x14ac:dyDescent="0.5">
      <c r="B111" s="8">
        <f>B80-175255388.5</f>
        <v>6650447.4499999881</v>
      </c>
      <c r="E111" s="8">
        <f>B80-175255388.5</f>
        <v>6650447.4499999881</v>
      </c>
    </row>
    <row r="113" spans="2:6" x14ac:dyDescent="0.5">
      <c r="B113" s="8">
        <f>B80-205409195.41</f>
        <v>-23503359.460000008</v>
      </c>
    </row>
    <row r="114" spans="2:6" x14ac:dyDescent="0.5">
      <c r="F114" s="8">
        <f>B80-175255388.5</f>
        <v>6650447.4499999881</v>
      </c>
    </row>
    <row r="116" spans="2:6" x14ac:dyDescent="0.5">
      <c r="C116" s="13">
        <f>122442431.78-B80</f>
        <v>-59463404.169999987</v>
      </c>
    </row>
  </sheetData>
  <mergeCells count="2">
    <mergeCell ref="A90:C90"/>
    <mergeCell ref="A91:C91"/>
  </mergeCells>
  <pageMargins left="0" right="0" top="1.1023622047244099" bottom="0.55118110236220497" header="0.31496062992126" footer="0.31496062992126"/>
  <pageSetup paperSize="5" scale="30" orientation="landscape" r:id="rId1"/>
  <headerFooter>
    <oddHeader>&amp;C&amp;"-,Negrita"&amp;26INSTITUTO DE DESARROLLO Y CREDITO COOPERATIVO
(IDECOOP)&amp;"-,Normal"
&amp;"-,Negrita"DIRECCION FINANCIERA
EJECUCION &amp;28PRESUPUESTARIA 2021</oddHeader>
    <oddFooter>&amp;L&amp;8&amp;F&amp;C&amp;8Pág. &amp;P de &amp;N&amp;R&amp;8&amp;D-&amp;T</oddFooter>
  </headerFooter>
  <rowBreaks count="2" manualBreakCount="2">
    <brk id="33" max="8" man="1"/>
    <brk id="59" max="8" man="1"/>
  </row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Ejec. Presup. Acumulada 2021</vt:lpstr>
      <vt:lpstr>'Ejec. Presup. Acumulada 2021'!Área_de_impresión</vt:lpstr>
      <vt:lpstr>'Ejec. Presup. Acumulada 2021'!Títulos_a_imprimir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Carlos Morel Medina</dc:creator>
  <cp:lastModifiedBy>Joan Jesus Mercado Jimenez</cp:lastModifiedBy>
  <cp:lastPrinted>2021-10-04T14:43:07Z</cp:lastPrinted>
  <dcterms:created xsi:type="dcterms:W3CDTF">2017-12-09T22:11:36Z</dcterms:created>
  <dcterms:modified xsi:type="dcterms:W3CDTF">2021-10-12T18:46:12Z</dcterms:modified>
</cp:coreProperties>
</file>