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2023'!$A$1:$I$96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61" i="1"/>
  <c r="I55" i="1"/>
  <c r="I53" i="1"/>
  <c r="I51" i="1"/>
  <c r="I33" i="1"/>
  <c r="I31" i="1"/>
  <c r="I27" i="1"/>
  <c r="I26" i="1"/>
  <c r="I25" i="1"/>
  <c r="I23" i="1"/>
  <c r="I22" i="1"/>
  <c r="I21" i="1"/>
  <c r="I20" i="1"/>
  <c r="I19" i="1"/>
  <c r="I18" i="1"/>
  <c r="I17" i="1"/>
  <c r="I16" i="1"/>
  <c r="I15" i="1"/>
  <c r="I13" i="1"/>
  <c r="I11" i="1"/>
  <c r="I10" i="1"/>
  <c r="I9" i="1"/>
  <c r="H13" i="1" l="1"/>
  <c r="H22" i="1"/>
  <c r="H62" i="1"/>
  <c r="H61" i="1"/>
  <c r="H54" i="1"/>
  <c r="H51" i="1"/>
  <c r="H33" i="1"/>
  <c r="H31" i="1"/>
  <c r="H30" i="1"/>
  <c r="H29" i="1"/>
  <c r="H27" i="1"/>
  <c r="H26" i="1"/>
  <c r="H25" i="1"/>
  <c r="H23" i="1"/>
  <c r="H21" i="1"/>
  <c r="H20" i="1"/>
  <c r="H19" i="1"/>
  <c r="H18" i="1"/>
  <c r="H17" i="1"/>
  <c r="H16" i="1"/>
  <c r="H15" i="1"/>
  <c r="H10" i="1"/>
  <c r="H9" i="1"/>
  <c r="H50" i="1" l="1"/>
  <c r="H24" i="1"/>
  <c r="H14" i="1"/>
  <c r="H8" i="1"/>
  <c r="H72" i="1" l="1"/>
  <c r="H85" i="1" s="1"/>
  <c r="G51" i="1"/>
  <c r="G15" i="1"/>
  <c r="G14" i="1"/>
  <c r="G25" i="1"/>
  <c r="G26" i="1"/>
  <c r="G27" i="1"/>
  <c r="G31" i="1"/>
  <c r="G33" i="1"/>
  <c r="G23" i="1"/>
  <c r="G22" i="1"/>
  <c r="G20" i="1"/>
  <c r="G55" i="1"/>
  <c r="G54" i="1"/>
  <c r="G21" i="1"/>
  <c r="G18" i="1"/>
  <c r="G17" i="1"/>
  <c r="G13" i="1"/>
  <c r="G10" i="1"/>
  <c r="G83" i="1"/>
  <c r="G81" i="1"/>
  <c r="G78" i="1"/>
  <c r="G75" i="1"/>
  <c r="G68" i="1"/>
  <c r="G65" i="1"/>
  <c r="G42" i="1"/>
  <c r="G34" i="1"/>
  <c r="G9" i="1"/>
  <c r="G50" i="1" l="1"/>
  <c r="G24" i="1"/>
  <c r="G8" i="1"/>
  <c r="D21" i="1"/>
  <c r="F31" i="1" l="1"/>
  <c r="F24" i="1" s="1"/>
  <c r="F83" i="1"/>
  <c r="F81" i="1"/>
  <c r="F78" i="1"/>
  <c r="F75" i="1"/>
  <c r="F65" i="1"/>
  <c r="F60" i="1"/>
  <c r="F50" i="1"/>
  <c r="F42" i="1"/>
  <c r="F34" i="1"/>
  <c r="F14" i="1"/>
  <c r="F8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B14" i="1" l="1"/>
  <c r="E81" i="1"/>
  <c r="E78" i="1"/>
  <c r="E75" i="1"/>
  <c r="F68" i="1"/>
  <c r="E65" i="1"/>
  <c r="E60" i="1"/>
  <c r="E50" i="1"/>
  <c r="E42" i="1"/>
  <c r="E34" i="1"/>
  <c r="E24" i="1"/>
  <c r="E14" i="1"/>
  <c r="E8" i="1"/>
  <c r="E83" i="1" l="1"/>
  <c r="D55" i="1"/>
  <c r="D56" i="1"/>
  <c r="D57" i="1"/>
  <c r="D59" i="1"/>
  <c r="D53" i="1"/>
  <c r="D44" i="1"/>
  <c r="D58" i="1" l="1"/>
  <c r="D54" i="1" l="1"/>
  <c r="D52" i="1"/>
  <c r="C8" i="1"/>
  <c r="C14" i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D60" i="1" l="1"/>
  <c r="C72" i="1"/>
  <c r="D34" i="1"/>
  <c r="D83" i="1"/>
  <c r="B72" i="1"/>
  <c r="F72" i="1"/>
  <c r="F85" i="1" s="1"/>
  <c r="D42" i="1"/>
  <c r="C85" i="1" l="1"/>
  <c r="C77" i="1"/>
  <c r="B85" i="1"/>
  <c r="D18" i="1" l="1"/>
  <c r="D33" i="1"/>
  <c r="D51" i="1"/>
  <c r="D50" i="1" s="1"/>
  <c r="D23" i="1"/>
  <c r="D13" i="1" l="1"/>
  <c r="D27" i="1"/>
  <c r="D25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C76" i="1" s="1"/>
  <c r="D85" i="1" l="1"/>
  <c r="J113" i="1" s="1"/>
  <c r="I73" i="1"/>
  <c r="I72" i="1"/>
  <c r="I85" i="1" s="1"/>
  <c r="D114" i="1" l="1"/>
  <c r="E121" i="1"/>
  <c r="D116" i="1"/>
  <c r="E114" i="1"/>
  <c r="H119" i="1"/>
  <c r="D118" i="1"/>
  <c r="G116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<sst xmlns="http://schemas.openxmlformats.org/spreadsheetml/2006/main" count="102" uniqueCount="101">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</sst>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2506578</xdr:colOff>
      <xdr:row>0</xdr:row>
      <xdr:rowOff>0</xdr:rowOff>
    </xdr:from>
    <xdr:to>
      <xdr:col>3</xdr:col>
      <xdr:colOff>3962</xdr:colOff>
      <xdr:row>4</xdr:row>
      <xdr:rowOff>634553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104" y="0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topLeftCell="A64" zoomScale="19" zoomScaleNormal="32" zoomScaleSheetLayoutView="19" workbookViewId="0">
      <selection activeCell="C54" sqref="C54"/>
    </sheetView>
  </sheetViews>
  <sheetFormatPr baseColWidth="10" defaultColWidth="9.140625" defaultRowHeight="66.75" x14ac:dyDescent="1"/>
  <cols>
    <col min="1" max="1" width="202.85546875" style="1" customWidth="1"/>
    <col min="2" max="2" width="74.85546875" style="1" customWidth="1"/>
    <col min="3" max="3" width="87.140625" style="1" customWidth="1"/>
    <col min="4" max="4" width="73" style="2" customWidth="1"/>
    <col min="5" max="5" width="76.5703125" style="3" customWidth="1"/>
    <col min="6" max="6" width="76.140625" style="28" customWidth="1"/>
    <col min="7" max="7" width="90.5703125" style="28" customWidth="1"/>
    <col min="8" max="8" width="73.140625" style="3" customWidth="1"/>
    <col min="9" max="9" width="94.4257812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H8" si="0">SUM(B9:B13)</f>
        <v>230366928</v>
      </c>
      <c r="C8" s="22">
        <f t="shared" si="0"/>
        <v>1491646</v>
      </c>
      <c r="D8" s="23">
        <f t="shared" si="0"/>
        <v>83407251.909999982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16832196.120000005</v>
      </c>
      <c r="H8" s="91">
        <f t="shared" si="0"/>
        <v>16720023.669999998</v>
      </c>
      <c r="J8" s="24"/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71135145.349999994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>
        <f>71135145.35-E9-F9-G9-H9</f>
        <v>14345849.509999987</v>
      </c>
      <c r="J9" s="24"/>
      <c r="K9" s="31"/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1590122.5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>
        <f>1590122.5-E10-F10-G10-H10</f>
        <v>319024.5</v>
      </c>
      <c r="J10" s="24"/>
      <c r="K10" s="31"/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15324.32</v>
      </c>
      <c r="E11" s="35">
        <v>0</v>
      </c>
      <c r="F11" s="88">
        <f>0-E11</f>
        <v>0</v>
      </c>
      <c r="G11" s="28">
        <v>0</v>
      </c>
      <c r="H11" s="24"/>
      <c r="I11" s="24">
        <f>15324.32-E11-F11-G11-H11</f>
        <v>15324.32</v>
      </c>
      <c r="J11" s="24"/>
      <c r="K11" s="2"/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v>0</v>
      </c>
      <c r="E12" s="35">
        <v>0</v>
      </c>
      <c r="F12" s="88">
        <v>0</v>
      </c>
      <c r="G12" s="28">
        <v>0</v>
      </c>
      <c r="H12" s="41">
        <v>0</v>
      </c>
      <c r="I12" s="4">
        <v>0</v>
      </c>
      <c r="J12" s="24"/>
      <c r="K12" s="31"/>
      <c r="L12" s="4"/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>SUM(E13:P13)</f>
        <v>10666659.74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>
        <f>10666659.74-E13-F13-G13-H13</f>
        <v>2120684.2699999996</v>
      </c>
      <c r="J13" s="24"/>
      <c r="K13" s="31"/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 t="shared" ref="B14:H14" si="1">SUM(B15:B23)</f>
        <v>52257070</v>
      </c>
      <c r="C14" s="22">
        <f t="shared" si="1"/>
        <v>16090199.67</v>
      </c>
      <c r="D14" s="23">
        <f t="shared" si="1"/>
        <v>17012905.080000002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K14" s="38"/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-1743000</v>
      </c>
      <c r="D15" s="26">
        <f>SUM(E15:P15)</f>
        <v>4463705.6900000004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>
        <f>4463705.69-E15-F15-G15-H15</f>
        <v>887087.0700000003</v>
      </c>
      <c r="J15" s="24"/>
      <c r="K15" s="31"/>
      <c r="L15" s="33"/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302959.96000000002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>
        <f>302959.96-E16-F16-G16-H16</f>
        <v>202960</v>
      </c>
      <c r="J16" s="34"/>
      <c r="K16" s="40"/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2463617.5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>
        <f>2463617.5-E17-F17-G17-H17</f>
        <v>935950</v>
      </c>
      <c r="J17" s="24"/>
      <c r="K17" s="42"/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-2914000</v>
      </c>
      <c r="D18" s="26">
        <f t="shared" si="2"/>
        <v>113000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>
        <f>113000-E18-F18-G18-H18</f>
        <v>77000</v>
      </c>
      <c r="J18" s="24"/>
      <c r="K18" s="31"/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915340</v>
      </c>
      <c r="D19" s="26">
        <f t="shared" si="2"/>
        <v>686486.53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>
        <f>686486.53-E19-F19-G19-H19</f>
        <v>277627.80000000005</v>
      </c>
      <c r="J19" s="24"/>
      <c r="K19" s="43"/>
      <c r="L19" s="33"/>
      <c r="M19" s="2"/>
      <c r="N19" s="32"/>
      <c r="O19" s="33"/>
      <c r="P19" s="34"/>
    </row>
    <row r="20" spans="1:16" x14ac:dyDescent="1">
      <c r="A20" s="29" t="s">
        <v>27</v>
      </c>
      <c r="B20" s="30">
        <v>2017378</v>
      </c>
      <c r="C20" s="30">
        <v>284000</v>
      </c>
      <c r="D20" s="26">
        <f t="shared" si="2"/>
        <v>864549.97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>
        <f>864549.97-E20-F20-G20-H20</f>
        <v>119615.60999999999</v>
      </c>
      <c r="J20" s="24"/>
      <c r="K20" s="31"/>
      <c r="L20" s="33"/>
      <c r="M20" s="2"/>
      <c r="N20" s="32"/>
      <c r="O20" s="33"/>
      <c r="P20" s="34"/>
    </row>
    <row r="21" spans="1:16" ht="200.25" x14ac:dyDescent="1">
      <c r="A21" s="29" t="s">
        <v>28</v>
      </c>
      <c r="B21" s="30">
        <v>5471374</v>
      </c>
      <c r="C21" s="30">
        <v>11695663.17</v>
      </c>
      <c r="D21" s="26">
        <f>SUM(E21:P21)</f>
        <v>553128.88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>
        <f>553128.88-E21-F21-G21-H21</f>
        <v>0</v>
      </c>
      <c r="J21" s="24"/>
      <c r="K21" s="31"/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6217196.5</v>
      </c>
      <c r="D22" s="26">
        <f t="shared" si="2"/>
        <v>5333278.55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>
        <f>5333278.55-E22-F22-G22-H22</f>
        <v>1772449.1899999995</v>
      </c>
      <c r="J22" s="24"/>
      <c r="K22" s="31"/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4120000</v>
      </c>
      <c r="D23" s="26">
        <f t="shared" si="2"/>
        <v>2232178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>
        <f>2232178-E23-F23-G23-H23</f>
        <v>195998</v>
      </c>
      <c r="J23" s="34"/>
      <c r="K23" s="40"/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 t="shared" ref="B24:H24" si="3">SUM(B25:B33)</f>
        <v>21455788</v>
      </c>
      <c r="C24" s="22">
        <f t="shared" si="3"/>
        <v>-2553189.86</v>
      </c>
      <c r="D24" s="23">
        <f t="shared" si="3"/>
        <v>5926087.5600000005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0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>
        <f>0-E25-F25-G25-H25</f>
        <v>0</v>
      </c>
      <c r="J25" s="24"/>
      <c r="K25" s="31"/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920000</v>
      </c>
      <c r="D26" s="26">
        <f t="shared" ref="D26:D64" si="4">SUM(E26:P26)</f>
        <v>287294.59999999998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>
        <f>287294.6-E26-F26-G26-H26</f>
        <v>0</v>
      </c>
      <c r="J26" s="34"/>
      <c r="K26" s="40"/>
      <c r="L26" s="37"/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-154301.85999999999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>
        <f>1368844.2-E27-F27-G27-H27</f>
        <v>0</v>
      </c>
      <c r="J27" s="24"/>
      <c r="K27" s="31"/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I28" s="4">
        <v>0</v>
      </c>
      <c r="K28" s="45"/>
      <c r="L28" s="4"/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30000</v>
      </c>
      <c r="D29" s="26">
        <f t="shared" si="4"/>
        <v>0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>
        <v>0</v>
      </c>
      <c r="J29" s="34"/>
      <c r="K29" s="40"/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0</v>
      </c>
      <c r="D30" s="26">
        <f t="shared" si="4"/>
        <v>0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>
        <v>0</v>
      </c>
      <c r="J30" s="36"/>
      <c r="K30" s="45"/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3204402.66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>
        <f>3204402.66-E31-F31-G31-H31</f>
        <v>423153.70000000042</v>
      </c>
      <c r="J31" s="48"/>
      <c r="K31" s="31"/>
      <c r="L31" s="49"/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>
        <v>0</v>
      </c>
      <c r="K32" s="56"/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-130888</v>
      </c>
      <c r="D33" s="26">
        <f t="shared" si="4"/>
        <v>1065546.1000000001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>
        <f>1065546.1-E33-F33-G33-H33</f>
        <v>633955.00000000012</v>
      </c>
      <c r="J33" s="24"/>
      <c r="K33" s="31"/>
      <c r="L33" s="33"/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G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91">
        <f t="shared" si="5"/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G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91">
        <f t="shared" si="6"/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H50" si="7">SUM(B51:B59)</f>
        <v>2900000</v>
      </c>
      <c r="C50" s="22">
        <f t="shared" si="7"/>
        <v>10129000</v>
      </c>
      <c r="D50" s="23">
        <f t="shared" si="7"/>
        <v>1475458.1400000001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4"/>
        <v>1429565.28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>
        <f>1429565.28-F51-G51-H51</f>
        <v>0</v>
      </c>
      <c r="J51" s="24"/>
      <c r="K51" s="31"/>
      <c r="L51" s="33"/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>
        <v>0</v>
      </c>
      <c r="J52" s="41"/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50000</v>
      </c>
      <c r="D53" s="26">
        <f t="shared" si="4"/>
        <v>45892.86</v>
      </c>
      <c r="E53" s="35"/>
      <c r="F53" s="28">
        <v>0</v>
      </c>
      <c r="I53" s="37">
        <f>45892.86-E53-F53-G53-H53</f>
        <v>45892.86</v>
      </c>
      <c r="K53" s="38"/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8500000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>
        <v>0</v>
      </c>
      <c r="J54" s="24"/>
      <c r="K54" s="31"/>
      <c r="L54" s="33"/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379000</v>
      </c>
      <c r="D55" s="26">
        <f t="shared" si="4"/>
        <v>0</v>
      </c>
      <c r="E55" s="35"/>
      <c r="F55" s="28">
        <v>0</v>
      </c>
      <c r="G55" s="28">
        <f>378780-E55-F55</f>
        <v>378780</v>
      </c>
      <c r="H55" s="24"/>
      <c r="I55" s="33">
        <f>0-E55-F55-G55-H55</f>
        <v>-378780</v>
      </c>
      <c r="J55" s="24"/>
      <c r="K55" s="31"/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38"/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6606826.4900000002</v>
      </c>
      <c r="D60" s="22">
        <f>SUM(D61:D64)</f>
        <v>6309146.4900000002</v>
      </c>
      <c r="E60" s="58">
        <f>SUM(E61:E64)</f>
        <v>0</v>
      </c>
      <c r="F60" s="58">
        <f>SUM(F61:F64)</f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2450000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2152320-E61-F61-G61-H61</f>
        <v>0</v>
      </c>
      <c r="J61" s="34"/>
      <c r="K61" s="38"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4156826.49</v>
      </c>
      <c r="E62" s="35">
        <v>0</v>
      </c>
      <c r="F62" s="28">
        <v>0</v>
      </c>
      <c r="G62" s="28">
        <v>0</v>
      </c>
      <c r="H62" s="41">
        <f>0-E62-F62-G62</f>
        <v>0</v>
      </c>
      <c r="I62" s="37">
        <f>4156826.49-E62-F62-G62</f>
        <v>4156826.49</v>
      </c>
      <c r="J62" s="3">
        <v>0</v>
      </c>
      <c r="K62" s="38"/>
      <c r="L62" s="4"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31764482.300000004</v>
      </c>
      <c r="D72" s="60">
        <f>D8+D14+D24+D50+D60</f>
        <v>114130849.17999998</v>
      </c>
      <c r="E72" s="61">
        <f t="shared" ref="E72:P72" si="8">SUM(E9:E71)</f>
        <v>16307764.189999999</v>
      </c>
      <c r="F72" s="89">
        <f t="shared" si="8"/>
        <v>36725207.93</v>
      </c>
      <c r="G72" s="89">
        <f t="shared" si="8"/>
        <v>19170458.779999997</v>
      </c>
      <c r="H72" s="89">
        <f t="shared" si="8"/>
        <v>34998341.510000005</v>
      </c>
      <c r="I72" s="62">
        <f>D72-87995555.18</f>
        <v>26135293.99999997</v>
      </c>
      <c r="J72" s="62">
        <f t="shared" si="8"/>
        <v>0</v>
      </c>
      <c r="K72" s="62">
        <f t="shared" si="8"/>
        <v>0</v>
      </c>
      <c r="L72" s="62">
        <f t="shared" si="8"/>
        <v>0</v>
      </c>
      <c r="M72" s="63">
        <f t="shared" si="8"/>
        <v>0</v>
      </c>
      <c r="N72" s="64">
        <f t="shared" si="8"/>
        <v>0</v>
      </c>
      <c r="O72" s="63">
        <f t="shared" si="8"/>
        <v>0</v>
      </c>
      <c r="P72" s="62">
        <f t="shared" si="8"/>
        <v>0</v>
      </c>
    </row>
    <row r="73" spans="1:16" x14ac:dyDescent="1">
      <c r="A73" s="29"/>
      <c r="B73" s="29"/>
      <c r="C73" s="29"/>
      <c r="E73" s="35"/>
      <c r="I73" s="37">
        <f>D72-87995555.18</f>
        <v>26135293.99999997</v>
      </c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21"/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69">
        <f>114130849.18-D72</f>
        <v>0</v>
      </c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69">
        <f>C72-31764482.3</f>
        <v>0</v>
      </c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31764482.300000004</v>
      </c>
      <c r="D85" s="73">
        <f t="shared" ref="D85:I85" si="9">SUM(D83,D72)</f>
        <v>114130849.17999998</v>
      </c>
      <c r="E85" s="74">
        <f t="shared" si="9"/>
        <v>16307764.189999999</v>
      </c>
      <c r="F85" s="75">
        <f t="shared" si="9"/>
        <v>36725207.93</v>
      </c>
      <c r="G85" s="75">
        <f t="shared" si="9"/>
        <v>19170458.779999997</v>
      </c>
      <c r="H85" s="75">
        <f t="shared" si="9"/>
        <v>34998341.510000005</v>
      </c>
      <c r="I85" s="75">
        <f t="shared" si="9"/>
        <v>26135293.99999997</v>
      </c>
      <c r="J85" s="76">
        <f t="shared" ref="J85:P85" si="10">SUM(J83,J72)</f>
        <v>0</v>
      </c>
      <c r="K85" s="76">
        <f t="shared" si="10"/>
        <v>0</v>
      </c>
      <c r="L85" s="76">
        <f t="shared" si="10"/>
        <v>0</v>
      </c>
      <c r="M85" s="77">
        <f t="shared" si="10"/>
        <v>0</v>
      </c>
      <c r="N85" s="78">
        <f t="shared" si="10"/>
        <v>0</v>
      </c>
      <c r="O85" s="77">
        <f t="shared" si="10"/>
        <v>0</v>
      </c>
      <c r="P85" s="76">
        <f t="shared" si="10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5" t="s">
        <v>97</v>
      </c>
      <c r="B90" s="95"/>
      <c r="C90" s="95"/>
      <c r="D90" s="95"/>
      <c r="E90" s="95"/>
      <c r="F90" s="95"/>
      <c r="K90" s="4"/>
      <c r="L90" s="4"/>
      <c r="M90" s="2"/>
      <c r="N90" s="32"/>
      <c r="O90" s="4"/>
    </row>
    <row r="91" spans="1:16" x14ac:dyDescent="1">
      <c r="A91" s="94"/>
      <c r="B91" s="94"/>
      <c r="C91" s="94"/>
      <c r="D91" s="94"/>
      <c r="K91" s="4"/>
      <c r="L91" s="4"/>
      <c r="M91" s="2"/>
      <c r="N91" s="32"/>
      <c r="O91" s="4"/>
    </row>
    <row r="92" spans="1:16" ht="204.75" customHeight="1" x14ac:dyDescent="1">
      <c r="A92" s="94" t="s">
        <v>98</v>
      </c>
      <c r="B92" s="94"/>
      <c r="C92" s="94"/>
      <c r="D92" s="94"/>
      <c r="E92" s="94"/>
      <c r="F92" s="94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85"/>
      <c r="K94" s="4"/>
      <c r="L94" s="4"/>
      <c r="M94" s="2"/>
      <c r="N94" s="32"/>
      <c r="O94" s="4"/>
    </row>
    <row r="95" spans="1:16" ht="110.25" customHeight="1" x14ac:dyDescent="1.2">
      <c r="A95" s="96" t="s">
        <v>99</v>
      </c>
      <c r="B95" s="96"/>
      <c r="C95" s="96"/>
      <c r="D95" s="96"/>
      <c r="E95" s="96"/>
      <c r="F95" s="96"/>
      <c r="G95" s="96"/>
      <c r="K95" s="4"/>
      <c r="L95" s="4"/>
      <c r="M95" s="2"/>
      <c r="N95" s="32"/>
      <c r="O95" s="4"/>
    </row>
    <row r="96" spans="1:16" ht="78.75" customHeight="1" x14ac:dyDescent="1.45">
      <c r="A96" s="97" t="s">
        <v>91</v>
      </c>
      <c r="B96" s="97"/>
      <c r="C96" s="97"/>
      <c r="D96" s="97"/>
      <c r="E96" s="97"/>
      <c r="F96" s="97"/>
      <c r="G96" s="97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32896821.259999976</v>
      </c>
    </row>
    <row r="114" spans="1:14" x14ac:dyDescent="1">
      <c r="D114" s="2">
        <f>D85-158182464.6</f>
        <v>-44051615.420000017</v>
      </c>
      <c r="E114" s="24">
        <f>D85-158036473.82</f>
        <v>-43905624.640000015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-61124539.320000023</v>
      </c>
      <c r="G116" s="28">
        <f>D85-175255388.5</f>
        <v>-61124539.320000023</v>
      </c>
    </row>
    <row r="118" spans="1:14" x14ac:dyDescent="1">
      <c r="D118" s="2">
        <f>D85-205409195.41</f>
        <v>-91278346.230000019</v>
      </c>
    </row>
    <row r="119" spans="1:14" x14ac:dyDescent="1">
      <c r="H119" s="24">
        <f>D85-175255388.5</f>
        <v>-61124539.320000023</v>
      </c>
    </row>
    <row r="121" spans="1:14" x14ac:dyDescent="1">
      <c r="E121" s="34">
        <f>122442431.78-D85</f>
        <v>8311582.6000000238</v>
      </c>
    </row>
  </sheetData>
  <mergeCells count="5">
    <mergeCell ref="A91:D91"/>
    <mergeCell ref="A90:F90"/>
    <mergeCell ref="A92:F92"/>
    <mergeCell ref="A95:G95"/>
    <mergeCell ref="A96:G96"/>
  </mergeCells>
  <pageMargins left="0" right="0" top="1.3385826771653544" bottom="0.55118110236220474" header="0.31496062992125984" footer="0.31496062992125984"/>
  <pageSetup scale="12" orientation="portrait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8" man="1"/>
    <brk id="7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2023-04-04T13:06:39Z</cp:lastPrinted>
  <dcterms:created xsi:type="dcterms:W3CDTF">2017-12-09T22:11:36Z</dcterms:created>
  <dcterms:modified xsi:type="dcterms:W3CDTF">2023-06-05T14:30:29Z</dcterms:modified>
</cp:coreProperties>
</file>