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PRESUPUESTO-2022\EJECUCIONES-2022\"/>
    </mc:Choice>
  </mc:AlternateContent>
  <bookViews>
    <workbookView xWindow="0" yWindow="0" windowWidth="20490" windowHeight="7755"/>
  </bookViews>
  <sheets>
    <sheet name="Ejec. Presup. Acumulada 2021" sheetId="1" r:id="rId1"/>
  </sheets>
  <definedNames>
    <definedName name="_xlnm.Print_Area" localSheetId="0">'Ejec. Presup. Acumulada 2021'!$A$1:$O$95</definedName>
    <definedName name="_xlnm.Print_Titles" localSheetId="0">'Ejec. Presup. Acumulada 2021'!$3:$3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" l="1"/>
  <c r="O51" i="1"/>
  <c r="O26" i="1"/>
  <c r="O27" i="1"/>
  <c r="O28" i="1"/>
  <c r="O58" i="1"/>
  <c r="O55" i="1"/>
  <c r="O52" i="1"/>
  <c r="O49" i="1"/>
  <c r="O48" i="1"/>
  <c r="O30" i="1"/>
  <c r="O24" i="1"/>
  <c r="O23" i="1"/>
  <c r="O22" i="1"/>
  <c r="O20" i="1"/>
  <c r="O19" i="1"/>
  <c r="O18" i="1"/>
  <c r="O17" i="1"/>
  <c r="O16" i="1"/>
  <c r="O15" i="1"/>
  <c r="O14" i="1"/>
  <c r="O13" i="1"/>
  <c r="O12" i="1"/>
  <c r="O10" i="1"/>
  <c r="O8" i="1"/>
  <c r="O7" i="1"/>
  <c r="O6" i="1"/>
  <c r="N7" i="1" l="1"/>
  <c r="N58" i="1"/>
  <c r="N55" i="1"/>
  <c r="N52" i="1"/>
  <c r="N51" i="1"/>
  <c r="N50" i="1"/>
  <c r="N49" i="1"/>
  <c r="N48" i="1"/>
  <c r="N30" i="1"/>
  <c r="N28" i="1"/>
  <c r="N24" i="1"/>
  <c r="N23" i="1"/>
  <c r="N22" i="1"/>
  <c r="N20" i="1"/>
  <c r="N19" i="1"/>
  <c r="N18" i="1"/>
  <c r="N17" i="1"/>
  <c r="N16" i="1"/>
  <c r="N15" i="1"/>
  <c r="N14" i="1"/>
  <c r="N13" i="1"/>
  <c r="N12" i="1"/>
  <c r="N10" i="1"/>
  <c r="N8" i="1"/>
  <c r="N6" i="1"/>
  <c r="F6" i="1" l="1"/>
  <c r="M27" i="1" l="1"/>
  <c r="M55" i="1"/>
  <c r="M51" i="1"/>
  <c r="M49" i="1"/>
  <c r="M48" i="1"/>
  <c r="M30" i="1"/>
  <c r="M28" i="1"/>
  <c r="M24" i="1"/>
  <c r="M23" i="1"/>
  <c r="M22" i="1"/>
  <c r="M20" i="1"/>
  <c r="M19" i="1"/>
  <c r="M18" i="1"/>
  <c r="M17" i="1"/>
  <c r="M16" i="1"/>
  <c r="M15" i="1"/>
  <c r="M14" i="1"/>
  <c r="M13" i="1"/>
  <c r="M12" i="1"/>
  <c r="M10" i="1"/>
  <c r="M8" i="1"/>
  <c r="M7" i="1"/>
  <c r="L24" i="1" l="1"/>
  <c r="L14" i="1"/>
  <c r="L16" i="1"/>
  <c r="L15" i="1"/>
  <c r="D52" i="1"/>
  <c r="D53" i="1"/>
  <c r="D54" i="1"/>
  <c r="D55" i="1"/>
  <c r="D56" i="1"/>
  <c r="L55" i="1"/>
  <c r="D51" i="1"/>
  <c r="D50" i="1"/>
  <c r="D47" i="1" s="1"/>
  <c r="D41" i="1"/>
  <c r="L51" i="1"/>
  <c r="L49" i="1"/>
  <c r="L48" i="1"/>
  <c r="L30" i="1"/>
  <c r="L28" i="1"/>
  <c r="L27" i="1"/>
  <c r="L26" i="1"/>
  <c r="L23" i="1"/>
  <c r="L22" i="1"/>
  <c r="L20" i="1"/>
  <c r="L19" i="1"/>
  <c r="L18" i="1"/>
  <c r="L13" i="1"/>
  <c r="L12" i="1"/>
  <c r="L10" i="1"/>
  <c r="L8" i="1"/>
  <c r="L7" i="1"/>
  <c r="K27" i="1" l="1"/>
  <c r="K24" i="1"/>
  <c r="K55" i="1"/>
  <c r="K49" i="1"/>
  <c r="K48" i="1"/>
  <c r="K30" i="1"/>
  <c r="K28" i="1"/>
  <c r="K26" i="1"/>
  <c r="K23" i="1"/>
  <c r="K22" i="1" l="1"/>
  <c r="K20" i="1"/>
  <c r="K19" i="1"/>
  <c r="K18" i="1"/>
  <c r="K16" i="1"/>
  <c r="K15" i="1"/>
  <c r="K14" i="1"/>
  <c r="K13" i="1"/>
  <c r="K12" i="1"/>
  <c r="K10" i="1"/>
  <c r="K8" i="1"/>
  <c r="K7" i="1"/>
  <c r="J10" i="1" l="1"/>
  <c r="J18" i="1"/>
  <c r="J51" i="1" l="1"/>
  <c r="J49" i="1"/>
  <c r="J48" i="1"/>
  <c r="J30" i="1"/>
  <c r="J28" i="1"/>
  <c r="J24" i="1"/>
  <c r="J23" i="1"/>
  <c r="J22" i="1"/>
  <c r="J20" i="1"/>
  <c r="J19" i="1"/>
  <c r="J16" i="1"/>
  <c r="J15" i="1"/>
  <c r="J14" i="1"/>
  <c r="J13" i="1"/>
  <c r="J12" i="1"/>
  <c r="J8" i="1"/>
  <c r="J7" i="1"/>
  <c r="I58" i="1" l="1"/>
  <c r="H51" i="1" l="1"/>
  <c r="H48" i="1"/>
  <c r="I48" i="1" s="1"/>
  <c r="H22" i="1"/>
  <c r="I22" i="1" s="1"/>
  <c r="E20" i="1"/>
  <c r="H20" i="1" s="1"/>
  <c r="H15" i="1"/>
  <c r="I15" i="1" s="1"/>
  <c r="H13" i="1"/>
  <c r="I13" i="1" s="1"/>
  <c r="I20" i="1" l="1"/>
  <c r="G30" i="1"/>
  <c r="G24" i="1"/>
  <c r="I24" i="1" s="1"/>
  <c r="G19" i="1"/>
  <c r="G18" i="1"/>
  <c r="G16" i="1"/>
  <c r="H16" i="1" l="1"/>
  <c r="I16" i="1" s="1"/>
  <c r="D16" i="1" s="1"/>
  <c r="H18" i="1"/>
  <c r="I18" i="1" s="1"/>
  <c r="H30" i="1"/>
  <c r="I30" i="1" s="1"/>
  <c r="D30" i="1" s="1"/>
  <c r="H19" i="1"/>
  <c r="F28" i="1"/>
  <c r="F17" i="1"/>
  <c r="F14" i="1"/>
  <c r="F12" i="1"/>
  <c r="F10" i="1"/>
  <c r="F8" i="1"/>
  <c r="F7" i="1"/>
  <c r="C5" i="1"/>
  <c r="C11" i="1"/>
  <c r="C21" i="1"/>
  <c r="C47" i="1"/>
  <c r="C57" i="1"/>
  <c r="B5" i="1"/>
  <c r="B11" i="1"/>
  <c r="B21" i="1"/>
  <c r="B69" i="1" s="1"/>
  <c r="B47" i="1"/>
  <c r="B57" i="1"/>
  <c r="D61" i="1"/>
  <c r="D60" i="1"/>
  <c r="D59" i="1"/>
  <c r="D9" i="1"/>
  <c r="D15" i="1"/>
  <c r="D22" i="1"/>
  <c r="D20" i="1"/>
  <c r="D13" i="1"/>
  <c r="C39" i="1"/>
  <c r="B39" i="1"/>
  <c r="C31" i="1"/>
  <c r="B31" i="1"/>
  <c r="D26" i="1"/>
  <c r="D23" i="1"/>
  <c r="D24" i="1"/>
  <c r="D25" i="1"/>
  <c r="D27" i="1"/>
  <c r="D29" i="1"/>
  <c r="D32" i="1"/>
  <c r="D33" i="1"/>
  <c r="D34" i="1"/>
  <c r="D35" i="1"/>
  <c r="D36" i="1"/>
  <c r="D37" i="1"/>
  <c r="D38" i="1"/>
  <c r="D40" i="1"/>
  <c r="D42" i="1"/>
  <c r="D43" i="1"/>
  <c r="D44" i="1"/>
  <c r="D45" i="1"/>
  <c r="D46" i="1"/>
  <c r="D48" i="1"/>
  <c r="D49" i="1"/>
  <c r="D58" i="1"/>
  <c r="D62" i="1"/>
  <c r="D65" i="1"/>
  <c r="J72" i="1"/>
  <c r="D78" i="1"/>
  <c r="D72" i="1"/>
  <c r="D76" i="1"/>
  <c r="D75" i="1" s="1"/>
  <c r="D80" i="1" s="1"/>
  <c r="I80" i="1"/>
  <c r="E69" i="1"/>
  <c r="E82" i="1" s="1"/>
  <c r="N69" i="1"/>
  <c r="N82" i="1" s="1"/>
  <c r="N113" i="1" s="1"/>
  <c r="O69" i="1"/>
  <c r="O82" i="1" s="1"/>
  <c r="P69" i="1"/>
  <c r="P82" i="1"/>
  <c r="H80" i="1"/>
  <c r="F69" i="1" l="1"/>
  <c r="F82" i="1" s="1"/>
  <c r="B74" i="1"/>
  <c r="B82" i="1"/>
  <c r="G6" i="1"/>
  <c r="H12" i="1"/>
  <c r="G12" i="1"/>
  <c r="G7" i="1"/>
  <c r="G14" i="1"/>
  <c r="I19" i="1"/>
  <c r="D19" i="1" s="1"/>
  <c r="D18" i="1"/>
  <c r="G8" i="1"/>
  <c r="G17" i="1"/>
  <c r="H17" i="1" s="1"/>
  <c r="I17" i="1" s="1"/>
  <c r="H10" i="1"/>
  <c r="I10" i="1" s="1"/>
  <c r="G10" i="1"/>
  <c r="G28" i="1"/>
  <c r="C69" i="1"/>
  <c r="C82" i="1" s="1"/>
  <c r="D57" i="1"/>
  <c r="D39" i="1"/>
  <c r="D31" i="1"/>
  <c r="J17" i="1" l="1"/>
  <c r="I28" i="1"/>
  <c r="H28" i="1"/>
  <c r="H7" i="1"/>
  <c r="I7" i="1" s="1"/>
  <c r="D7" i="1" s="1"/>
  <c r="I12" i="1"/>
  <c r="D12" i="1" s="1"/>
  <c r="H14" i="1"/>
  <c r="I14" i="1" s="1"/>
  <c r="G69" i="1"/>
  <c r="G82" i="1" s="1"/>
  <c r="D28" i="1"/>
  <c r="D21" i="1" s="1"/>
  <c r="D8" i="1"/>
  <c r="D10" i="1"/>
  <c r="H8" i="1"/>
  <c r="I8" i="1" s="1"/>
  <c r="H6" i="1"/>
  <c r="D17" i="1" l="1"/>
  <c r="K17" i="1"/>
  <c r="L17" i="1"/>
  <c r="H69" i="1"/>
  <c r="H82" i="1" s="1"/>
  <c r="I6" i="1"/>
  <c r="D14" i="1"/>
  <c r="I69" i="1" l="1"/>
  <c r="I82" i="1" s="1"/>
  <c r="J6" i="1"/>
  <c r="J69" i="1" s="1"/>
  <c r="J82" i="1" s="1"/>
  <c r="D11" i="1"/>
  <c r="K6" i="1" l="1"/>
  <c r="K69" i="1" s="1"/>
  <c r="K82" i="1" s="1"/>
  <c r="L6" i="1" l="1"/>
  <c r="L69" i="1" s="1"/>
  <c r="L82" i="1" s="1"/>
  <c r="M6" i="1" l="1"/>
  <c r="M69" i="1" s="1"/>
  <c r="M82" i="1" s="1"/>
  <c r="D6" i="1"/>
  <c r="D5" i="1" s="1"/>
  <c r="D69" i="1" s="1"/>
  <c r="D82" i="1" l="1"/>
  <c r="D84" i="1" s="1"/>
  <c r="E120" i="1" l="1"/>
  <c r="D115" i="1"/>
  <c r="G115" i="1"/>
  <c r="J112" i="1"/>
  <c r="D117" i="1"/>
  <c r="H118" i="1"/>
  <c r="D113" i="1"/>
  <c r="E113" i="1"/>
</calcChain>
</file>

<file path=xl/sharedStrings.xml><?xml version="1.0" encoding="utf-8"?>
<sst xmlns="http://schemas.openxmlformats.org/spreadsheetml/2006/main" count="102" uniqueCount="102">
  <si>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</si>
  <si>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</si>
  <si>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</si>
  <si>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</si>
  <si>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</si>
  <si>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</si>
  <si>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</si>
  <si>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</si>
  <si>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</si>
  <si>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</si>
  <si>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</si>
  <si>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</si>
  <si>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</si>
  <si>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</si>
  <si>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</si>
  <si>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</si>
  <si>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</si>
  <si>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</si>
  <si>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</si>
  <si>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</si>
  <si>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</si>
  <si>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</si>
  <si>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</si>
  <si>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</si>
  <si>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</si>
  <si>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</si>
  <si>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</si>
  <si>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</si>
  <si>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</si>
  <si>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</si>
  <si>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</si>
  <si>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</si>
  <si>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</si>
  <si>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</si>
  <si>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</si>
  <si>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</si>
  <si>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</si>
  <si>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</si>
  <si>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</si>
  <si>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</si>
  <si>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</si>
  <si>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</si>
  <si>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</si>
  <si>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</si>
  <si>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</si>
  <si>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</si>
  <si>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</si>
  <si>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</si>
  <si>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</si>
  <si>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</si>
  <si>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</si>
  <si>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</si>
  <si>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</si>
  <si>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</si>
  <si>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</si>
  <si>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</si>
  <si>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</si>
  <si>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</si>
  <si>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</si>
  <si>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</si>
  <si>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</si>
  <si>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</si>
  <si>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</si>
  <si>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</si>
  <si>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</si>
  <si>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</si>
  <si>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</si>
  <si>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</si>
  <si>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</si>
  <si>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</si>
  <si>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</si>
  <si>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</si>
  <si>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</si>
  <si>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</si>
  <si>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</si>
  <si>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</si>
  <si>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</si>
  <si>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</si>
  <si>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</si>
  <si>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</si>
  <si>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</si>
  <si>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</si>
  <si>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</si>
  <si>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</si>
  <si>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</si>
  <si>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</si>
  <si>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</si>
  <si>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</si>
  <si>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</si>
  <si>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</si>
  <si>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</si>
  <si>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</si>
  <si>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</si>
  <si>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</si>
  <si>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</si>
  <si>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</si>
  <si>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 xml:space="preserve">                                MARIA DEL CARMEN ROJAS REYES</t>
  </si>
  <si>
    <t xml:space="preserve">                                        DIRECTORA FINANCIERA  </t>
  </si>
  <si>
    <r>
      <rPr>
        <b/>
        <sz val="36"/>
        <color theme="1"/>
        <rFont val="Arial Black"/>
        <family val="2"/>
      </rPr>
      <t>PresupuestoAprobado:</t>
    </r>
    <r>
      <rPr>
        <b/>
        <sz val="36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</si>
  <si>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36"/>
        <color theme="1"/>
        <rFont val="Arial Black"/>
        <family val="2"/>
      </rPr>
      <t xml:space="preserve">Presupuesto Modificado: </t>
    </r>
    <r>
      <rPr>
        <b/>
        <sz val="36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</si>
  <si>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36"/>
        <color theme="1"/>
        <rFont val="Arial Black"/>
        <family val="2"/>
      </rPr>
      <t>Total Devengado:</t>
    </r>
    <r>
      <rPr>
        <b/>
        <sz val="36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</si>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</sst>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26"/>
      <color theme="1"/>
      <name val="Arial"/>
      <family val="2"/>
    </font>
    <font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left" vertical="center" wrapText="1"/>
    </xf>
    <xf numFmtId="4" fontId="2" fillId="3" borderId="0" xfId="0" applyNumberFormat="1" applyFont="1" applyFill="1"/>
    <xf numFmtId="4" fontId="3" fillId="3" borderId="0" xfId="0" applyNumberFormat="1" applyFont="1" applyFill="1"/>
    <xf numFmtId="0" fontId="2" fillId="0" borderId="1" xfId="0" applyFont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4" fontId="2" fillId="3" borderId="0" xfId="1" applyNumberFormat="1" applyFont="1" applyFill="1"/>
    <xf numFmtId="0" fontId="3" fillId="3" borderId="0" xfId="0" applyFont="1" applyFill="1"/>
    <xf numFmtId="164" fontId="3" fillId="3" borderId="0" xfId="1" applyFont="1" applyFill="1"/>
    <xf numFmtId="4" fontId="3" fillId="3" borderId="0" xfId="1" applyNumberFormat="1" applyFont="1" applyFill="1"/>
    <xf numFmtId="4" fontId="6" fillId="3" borderId="0" xfId="1" applyNumberFormat="1" applyFont="1" applyFill="1"/>
    <xf numFmtId="164" fontId="3" fillId="0" borderId="0" xfId="1" applyFont="1"/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horizontal="left" vertical="center" wrapText="1"/>
    </xf>
    <xf numFmtId="164" fontId="3" fillId="3" borderId="0" xfId="1" applyFont="1" applyFill="1" applyBorder="1"/>
    <xf numFmtId="4" fontId="6" fillId="3" borderId="0" xfId="0" applyNumberFormat="1" applyFont="1" applyFill="1"/>
    <xf numFmtId="164" fontId="3" fillId="3" borderId="0" xfId="0" applyNumberFormat="1" applyFont="1" applyFill="1"/>
    <xf numFmtId="164" fontId="3" fillId="0" borderId="0" xfId="0" applyNumberFormat="1" applyFont="1"/>
    <xf numFmtId="165" fontId="3" fillId="0" borderId="0" xfId="0" applyNumberFormat="1" applyFont="1" applyAlignment="1">
      <alignment vertical="center" wrapText="1"/>
    </xf>
    <xf numFmtId="165" fontId="3" fillId="0" borderId="0" xfId="0" applyNumberFormat="1" applyFont="1"/>
    <xf numFmtId="43" fontId="3" fillId="3" borderId="0" xfId="0" applyNumberFormat="1" applyFont="1" applyFill="1"/>
    <xf numFmtId="165" fontId="2" fillId="0" borderId="0" xfId="0" applyNumberFormat="1" applyFont="1" applyAlignment="1">
      <alignment vertical="center" wrapText="1"/>
    </xf>
    <xf numFmtId="0" fontId="3" fillId="3" borderId="0" xfId="0" applyFont="1" applyFill="1" applyBorder="1"/>
    <xf numFmtId="43" fontId="3" fillId="0" borderId="0" xfId="0" applyNumberFormat="1" applyFont="1" applyAlignment="1">
      <alignment vertical="center" wrapText="1"/>
    </xf>
    <xf numFmtId="164" fontId="3" fillId="3" borderId="0" xfId="0" applyNumberFormat="1" applyFont="1" applyFill="1" applyBorder="1"/>
    <xf numFmtId="43" fontId="3" fillId="0" borderId="0" xfId="0" applyNumberFormat="1" applyFont="1"/>
    <xf numFmtId="164" fontId="6" fillId="3" borderId="0" xfId="1" applyFont="1" applyFill="1" applyBorder="1"/>
    <xf numFmtId="43" fontId="3" fillId="3" borderId="0" xfId="0" applyNumberFormat="1" applyFont="1" applyFill="1" applyBorder="1"/>
    <xf numFmtId="165" fontId="3" fillId="3" borderId="0" xfId="0" applyNumberFormat="1" applyFont="1" applyFill="1"/>
    <xf numFmtId="43" fontId="3" fillId="0" borderId="0" xfId="0" applyNumberFormat="1" applyFont="1" applyAlignment="1">
      <alignment vertical="center"/>
    </xf>
    <xf numFmtId="4" fontId="3" fillId="0" borderId="0" xfId="0" applyNumberFormat="1" applyFont="1" applyAlignment="1"/>
    <xf numFmtId="3" fontId="3" fillId="0" borderId="0" xfId="0" applyNumberFormat="1" applyFont="1" applyAlignment="1"/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6" fillId="3" borderId="0" xfId="0" applyNumberFormat="1" applyFont="1" applyFill="1" applyAlignment="1"/>
    <xf numFmtId="164" fontId="3" fillId="0" borderId="0" xfId="0" applyNumberFormat="1" applyFont="1" applyAlignment="1"/>
    <xf numFmtId="165" fontId="3" fillId="0" borderId="0" xfId="0" applyNumberFormat="1" applyFont="1" applyAlignment="1">
      <alignment vertical="center"/>
    </xf>
    <xf numFmtId="0" fontId="3" fillId="0" borderId="0" xfId="0" applyFont="1" applyAlignment="1"/>
    <xf numFmtId="0" fontId="3" fillId="3" borderId="0" xfId="0" applyFont="1" applyFill="1" applyAlignment="1"/>
    <xf numFmtId="0" fontId="3" fillId="3" borderId="0" xfId="0" applyFont="1" applyFill="1" applyBorder="1" applyAlignment="1"/>
    <xf numFmtId="164" fontId="3" fillId="0" borderId="0" xfId="0" applyNumberFormat="1" applyFont="1" applyAlignment="1">
      <alignment wrapText="1"/>
    </xf>
    <xf numFmtId="165" fontId="3" fillId="3" borderId="0" xfId="0" applyNumberFormat="1" applyFont="1" applyFill="1" applyBorder="1"/>
    <xf numFmtId="43" fontId="2" fillId="2" borderId="0" xfId="0" applyNumberFormat="1" applyFont="1" applyFill="1" applyBorder="1" applyAlignment="1">
      <alignment horizontal="left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Border="1" applyAlignment="1">
      <alignment horizontal="center" vertical="center" wrapText="1"/>
    </xf>
    <xf numFmtId="164" fontId="2" fillId="2" borderId="0" xfId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4" fontId="3" fillId="5" borderId="0" xfId="0" applyNumberFormat="1" applyFont="1" applyFill="1"/>
    <xf numFmtId="4" fontId="6" fillId="5" borderId="0" xfId="0" applyNumberFormat="1" applyFont="1" applyFill="1"/>
    <xf numFmtId="0" fontId="3" fillId="4" borderId="0" xfId="0" applyFont="1" applyFill="1"/>
    <xf numFmtId="164" fontId="6" fillId="5" borderId="0" xfId="1" applyFont="1" applyFill="1"/>
    <xf numFmtId="4" fontId="3" fillId="0" borderId="0" xfId="0" applyNumberFormat="1" applyFont="1" applyAlignment="1">
      <alignment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4" fontId="2" fillId="2" borderId="0" xfId="0" applyNumberFormat="1" applyFont="1" applyFill="1" applyBorder="1" applyAlignment="1">
      <alignment horizontal="right" vertical="center" wrapText="1"/>
    </xf>
    <xf numFmtId="43" fontId="3" fillId="0" borderId="0" xfId="0" applyNumberFormat="1" applyFont="1" applyAlignment="1">
      <alignment horizontal="left" vertical="center" wrapText="1"/>
    </xf>
    <xf numFmtId="43" fontId="2" fillId="0" borderId="0" xfId="0" applyNumberFormat="1" applyFont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12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/>
    <xf numFmtId="0" fontId="15" fillId="0" borderId="0" xfId="0" applyFont="1" applyAlignment="1">
      <alignment wrapText="1"/>
    </xf>
    <xf numFmtId="3" fontId="3" fillId="3" borderId="0" xfId="0" applyNumberFormat="1" applyFont="1" applyFill="1"/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4" fontId="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0"/>
  <sheetViews>
    <sheetView tabSelected="1" view="pageBreakPreview" topLeftCell="A89" zoomScale="24" zoomScaleNormal="32" zoomScaleSheetLayoutView="24" workbookViewId="0">
      <selection activeCell="E99" sqref="E99"/>
    </sheetView>
  </sheetViews>
  <sheetFormatPr baseColWidth="10" defaultColWidth="9.140625" defaultRowHeight="46.5" x14ac:dyDescent="0.7"/>
  <cols>
    <col min="1" max="1" width="179.42578125" style="1" customWidth="1"/>
    <col min="2" max="2" width="75.28515625" style="1" hidden="1" customWidth="1"/>
    <col min="3" max="3" width="70" style="1" hidden="1" customWidth="1"/>
    <col min="4" max="4" width="64.7109375" style="7" customWidth="1"/>
    <col min="5" max="5" width="61.5703125" style="3" customWidth="1"/>
    <col min="6" max="6" width="67.85546875" style="3" customWidth="1"/>
    <col min="7" max="7" width="71" style="3" customWidth="1"/>
    <col min="8" max="8" width="73.140625" style="3" customWidth="1"/>
    <col min="9" max="9" width="71.85546875" style="16" customWidth="1"/>
    <col min="10" max="10" width="52.42578125" style="3" customWidth="1"/>
    <col min="11" max="11" width="55" style="67" customWidth="1"/>
    <col min="12" max="12" width="51.7109375" style="67" customWidth="1"/>
    <col min="13" max="13" width="56.5703125" style="68" customWidth="1"/>
    <col min="14" max="14" width="64.85546875" style="69" customWidth="1"/>
    <col min="15" max="15" width="72.140625" style="70" customWidth="1"/>
    <col min="16" max="16" width="44.85546875" style="3" customWidth="1"/>
    <col min="17" max="17" width="2.42578125" style="3" customWidth="1"/>
    <col min="18" max="16384" width="9.140625" style="3"/>
  </cols>
  <sheetData>
    <row r="2" spans="1:16" ht="47.25" thickBot="1" x14ac:dyDescent="0.75"/>
    <row r="3" spans="1:16" s="88" customFormat="1" ht="123.75" thickBot="1" x14ac:dyDescent="0.95">
      <c r="A3" s="89" t="s">
        <v>0</v>
      </c>
      <c r="B3" s="81" t="s">
        <v>94</v>
      </c>
      <c r="C3" s="81" t="s">
        <v>95</v>
      </c>
      <c r="D3" s="82" t="s">
        <v>1</v>
      </c>
      <c r="E3" s="83" t="s">
        <v>2</v>
      </c>
      <c r="F3" s="83" t="s">
        <v>3</v>
      </c>
      <c r="G3" s="83" t="s">
        <v>4</v>
      </c>
      <c r="H3" s="83" t="s">
        <v>5</v>
      </c>
      <c r="I3" s="83" t="s">
        <v>6</v>
      </c>
      <c r="J3" s="83" t="s">
        <v>7</v>
      </c>
      <c r="K3" s="83" t="s">
        <v>8</v>
      </c>
      <c r="L3" s="83" t="s">
        <v>9</v>
      </c>
      <c r="M3" s="84" t="s">
        <v>10</v>
      </c>
      <c r="N3" s="85" t="s">
        <v>11</v>
      </c>
      <c r="O3" s="86" t="s">
        <v>12</v>
      </c>
      <c r="P3" s="87" t="s">
        <v>13</v>
      </c>
    </row>
    <row r="4" spans="1:16" ht="61.5" x14ac:dyDescent="0.7">
      <c r="A4" s="90" t="s">
        <v>14</v>
      </c>
      <c r="B4" s="8"/>
      <c r="C4" s="8"/>
      <c r="D4" s="9"/>
      <c r="E4" s="10"/>
      <c r="F4" s="10"/>
      <c r="G4" s="10"/>
      <c r="H4" s="10"/>
      <c r="I4" s="11"/>
      <c r="J4" s="10"/>
      <c r="K4" s="11"/>
      <c r="L4" s="11"/>
      <c r="M4" s="9"/>
      <c r="N4" s="12"/>
      <c r="O4" s="11"/>
      <c r="P4" s="10"/>
    </row>
    <row r="5" spans="1:16" x14ac:dyDescent="0.7">
      <c r="A5" s="13" t="s">
        <v>15</v>
      </c>
      <c r="B5" s="14">
        <f>SUM(B6:B10)</f>
        <v>218559733</v>
      </c>
      <c r="C5" s="14">
        <f>SUM(C6:C10)</f>
        <v>12500000</v>
      </c>
      <c r="D5" s="15">
        <f>SUM(D6:D10)</f>
        <v>203217347.65999997</v>
      </c>
      <c r="E5" s="2"/>
      <c r="G5" s="2"/>
      <c r="J5" s="2"/>
      <c r="K5" s="17"/>
      <c r="L5" s="17"/>
      <c r="M5" s="18"/>
      <c r="N5" s="19"/>
      <c r="O5" s="17"/>
      <c r="P5" s="20"/>
    </row>
    <row r="6" spans="1:16" x14ac:dyDescent="0.7">
      <c r="A6" s="21" t="s">
        <v>16</v>
      </c>
      <c r="B6" s="22">
        <v>175030000</v>
      </c>
      <c r="C6" s="22">
        <v>10668000</v>
      </c>
      <c r="D6" s="18">
        <f>SUM(E6:P6)</f>
        <v>163603708.31999999</v>
      </c>
      <c r="E6" s="2">
        <v>13283516.9</v>
      </c>
      <c r="F6" s="2">
        <f>26478783.8-E6</f>
        <v>13195266.9</v>
      </c>
      <c r="G6" s="2">
        <f>39858980.79-E6-F6</f>
        <v>13380196.99</v>
      </c>
      <c r="H6" s="2">
        <f>53173647.69-E6-F6-G6</f>
        <v>13314666.9</v>
      </c>
      <c r="I6" s="7">
        <f>66494114.59-E6-F6-G6-H6</f>
        <v>13320466.900000004</v>
      </c>
      <c r="J6" s="2">
        <f>80037631.49-E6-F6-G6-H6-I6</f>
        <v>13543516.899999993</v>
      </c>
      <c r="K6" s="23">
        <f>94094635.04-E6-F6-G6-H6-I6-J6</f>
        <v>14057003.549999995</v>
      </c>
      <c r="L6" s="17">
        <f>107723251.94-E6-F6-G6-H6-I6-J6-K6</f>
        <v>13628616.9</v>
      </c>
      <c r="M6" s="18">
        <f>121538368.84-E6-F6-G6-H6-I6-J6-K6-L6</f>
        <v>13815116.899999997</v>
      </c>
      <c r="N6" s="19">
        <f>135856387.56-E6-F6-G6-H6-I6-J6-K6-L6-M6</f>
        <v>14318018.720000001</v>
      </c>
      <c r="O6" s="17">
        <f>163603708.32-E6-F6-G6-H6-I6-J6-K6-L6-M6-N6</f>
        <v>27747320.75999999</v>
      </c>
      <c r="P6" s="20"/>
    </row>
    <row r="7" spans="1:16" x14ac:dyDescent="0.7">
      <c r="A7" s="21" t="s">
        <v>17</v>
      </c>
      <c r="B7" s="22">
        <v>18500000</v>
      </c>
      <c r="C7" s="22">
        <v>532000</v>
      </c>
      <c r="D7" s="18">
        <f>SUM(E7:P7)</f>
        <v>16808472.199999999</v>
      </c>
      <c r="E7" s="2">
        <v>293524.5</v>
      </c>
      <c r="F7" s="2">
        <f>587049-E7</f>
        <v>293524.5</v>
      </c>
      <c r="G7" s="2">
        <f>880573.5-E7-F7</f>
        <v>293524.5</v>
      </c>
      <c r="H7" s="2">
        <f>1176098-E7-F7-G7</f>
        <v>295524.5</v>
      </c>
      <c r="I7" s="7">
        <f>1471622.5-E7-F7-G7-H7</f>
        <v>295524.5</v>
      </c>
      <c r="J7" s="2">
        <f>1767147-E7-F7-G7-H7-I7</f>
        <v>295524.5</v>
      </c>
      <c r="K7" s="23">
        <f>2112171.5-E7-F7-G7-H7-I7-J7</f>
        <v>345024.5</v>
      </c>
      <c r="L7" s="7">
        <f>2432196-E7-F7-G7-H7-I7-J7-K7</f>
        <v>320024.5</v>
      </c>
      <c r="M7" s="7">
        <f>2752220.5-E7-F7-G7-H7-I7-J7-K7-L7</f>
        <v>320024.5</v>
      </c>
      <c r="N7" s="24">
        <f>16483447.7-E7-F7-G7-H7-I7-J7-K7-L7-M7</f>
        <v>13731227.199999999</v>
      </c>
      <c r="O7" s="25">
        <f>16808472.2-E7-F7-G7-H7-I7-J7-K7-L7-M7-N7</f>
        <v>325024.5</v>
      </c>
      <c r="P7" s="26"/>
    </row>
    <row r="8" spans="1:16" x14ac:dyDescent="0.7">
      <c r="A8" s="21" t="s">
        <v>18</v>
      </c>
      <c r="B8" s="22">
        <v>648000</v>
      </c>
      <c r="C8" s="22">
        <v>0</v>
      </c>
      <c r="D8" s="18">
        <f t="shared" ref="D8:D10" si="0">SUM(E8:P8)</f>
        <v>207118.79000000004</v>
      </c>
      <c r="E8" s="27">
        <v>0</v>
      </c>
      <c r="F8" s="27">
        <f>0-E8</f>
        <v>0</v>
      </c>
      <c r="G8" s="2">
        <f>31412.94-E8-F8</f>
        <v>31412.94</v>
      </c>
      <c r="H8" s="2">
        <f>75834.83-E8-F8-G8</f>
        <v>44421.89</v>
      </c>
      <c r="I8" s="2">
        <f>109802.31-E8-F8-G8-H8</f>
        <v>33967.479999999996</v>
      </c>
      <c r="J8" s="2">
        <f>145739.47-E8-F8-G8-H8-I8</f>
        <v>35937.160000000003</v>
      </c>
      <c r="K8" s="7">
        <f>185880.61-E8-F8-G8-H8-I8-J8</f>
        <v>40141.139999999985</v>
      </c>
      <c r="L8" s="25">
        <f>185880.61-E8-F8-G8-H8-I8-J8-K8</f>
        <v>0</v>
      </c>
      <c r="M8" s="7">
        <f>185880.61-E8-F8-G8-H8-I8-J8-K8-L8</f>
        <v>0</v>
      </c>
      <c r="N8" s="24">
        <f>185880.61-E8-F8-G8-H8-I8-J8-K8-L8-M8</f>
        <v>0</v>
      </c>
      <c r="O8" s="25">
        <f>207118.79-E8-F8-G8-H8-I8-J8-K8-L8-M8-N8</f>
        <v>21238.180000000037</v>
      </c>
      <c r="P8" s="26"/>
    </row>
    <row r="9" spans="1:16" x14ac:dyDescent="0.7">
      <c r="A9" s="21" t="s">
        <v>19</v>
      </c>
      <c r="B9" s="22">
        <v>0</v>
      </c>
      <c r="C9" s="22">
        <v>0</v>
      </c>
      <c r="D9" s="18">
        <f t="shared" si="0"/>
        <v>0</v>
      </c>
      <c r="E9" s="27">
        <v>0</v>
      </c>
      <c r="F9" s="27">
        <v>0</v>
      </c>
      <c r="G9" s="28">
        <v>0</v>
      </c>
      <c r="H9" s="3">
        <v>0</v>
      </c>
      <c r="I9" s="16">
        <v>0</v>
      </c>
      <c r="J9" s="2">
        <v>0</v>
      </c>
      <c r="K9" s="23">
        <v>0</v>
      </c>
      <c r="L9" s="16"/>
      <c r="M9" s="7">
        <v>0</v>
      </c>
      <c r="N9" s="24"/>
      <c r="O9" s="29">
        <v>0</v>
      </c>
    </row>
    <row r="10" spans="1:16" x14ac:dyDescent="0.7">
      <c r="A10" s="21" t="s">
        <v>20</v>
      </c>
      <c r="B10" s="22">
        <v>24381733</v>
      </c>
      <c r="C10" s="22">
        <v>1300000</v>
      </c>
      <c r="D10" s="18">
        <f t="shared" si="0"/>
        <v>22598048.350000001</v>
      </c>
      <c r="E10" s="2">
        <v>2025176.86</v>
      </c>
      <c r="F10" s="2">
        <f>4036816.16-E10</f>
        <v>2011639.3</v>
      </c>
      <c r="G10" s="2">
        <f>6033959.16-E10-F10</f>
        <v>1997142.9999999998</v>
      </c>
      <c r="H10" s="2">
        <f>8004697.59-E10-F10-G10</f>
        <v>1970738.43</v>
      </c>
      <c r="I10" s="7">
        <f>10035187.48-E10-F10-G10-H10</f>
        <v>2030489.8900000004</v>
      </c>
      <c r="J10" s="2">
        <f>12099492.44-E10-F10-G10-H10-I10</f>
        <v>2064304.9600000002</v>
      </c>
      <c r="K10" s="23">
        <f>14157505.09-E10-F10-G10-H10-I10-J10</f>
        <v>2058012.6499999992</v>
      </c>
      <c r="L10" s="25">
        <f>16234002.7-E10-F10-G10-H10-I10-J10-K10</f>
        <v>2076497.6099999996</v>
      </c>
      <c r="M10" s="7">
        <f>18338248.07-E10-F10-G10-H10-I10-J10-K10-L10</f>
        <v>2104245.370000001</v>
      </c>
      <c r="N10" s="24">
        <f>20450335.6-E10-F10-G10-H10-I10-J10-K10-L10-M10</f>
        <v>2112087.5300000012</v>
      </c>
      <c r="O10" s="25">
        <f>22598048.35-E10-F10-G10-H10-I10-J10-K10-L10-M10-N10</f>
        <v>2147712.75</v>
      </c>
      <c r="P10" s="26"/>
    </row>
    <row r="11" spans="1:16" x14ac:dyDescent="0.7">
      <c r="A11" s="13" t="s">
        <v>21</v>
      </c>
      <c r="B11" s="14">
        <f>SUM(B12:B20)</f>
        <v>52450948</v>
      </c>
      <c r="C11" s="14">
        <f>SUM(C12:C20)</f>
        <v>4753833.59</v>
      </c>
      <c r="D11" s="15">
        <f>SUM(D12:D20)</f>
        <v>41711773.890000001</v>
      </c>
      <c r="E11" s="30"/>
      <c r="K11" s="31"/>
      <c r="L11" s="16"/>
      <c r="M11" s="7"/>
      <c r="N11" s="24"/>
      <c r="O11" s="25"/>
    </row>
    <row r="12" spans="1:16" x14ac:dyDescent="0.7">
      <c r="A12" s="21" t="s">
        <v>22</v>
      </c>
      <c r="B12" s="22">
        <v>8400000</v>
      </c>
      <c r="C12" s="22"/>
      <c r="D12" s="18">
        <f>SUM(E12:P12)</f>
        <v>9473487.3699999992</v>
      </c>
      <c r="E12" s="32">
        <v>359766.17</v>
      </c>
      <c r="F12" s="2">
        <f>1375369.57-E12</f>
        <v>1015603.4000000001</v>
      </c>
      <c r="G12" s="2">
        <f>2131024.6-E12-F12</f>
        <v>755655.03</v>
      </c>
      <c r="H12" s="2">
        <f>3087229.24-E12-F12-G12</f>
        <v>956204.64000000013</v>
      </c>
      <c r="I12" s="7">
        <f>3982214.13-E12-F12-G12-H12</f>
        <v>894984.88999999943</v>
      </c>
      <c r="J12" s="2">
        <f>4820919.86-E12-F12-G12-H12-I12</f>
        <v>838705.73000000021</v>
      </c>
      <c r="K12" s="23">
        <f>5708688.92-E12-F12-G12-H12-I12-J12</f>
        <v>887769.05999999959</v>
      </c>
      <c r="L12" s="25">
        <f>6866817.72-E12-F12-G12-H12-I12-J12-K12</f>
        <v>1158128.8</v>
      </c>
      <c r="M12" s="7">
        <f>7737066.84-E12-F12-G12-H12-I12-J12-K12-L12</f>
        <v>870249.11999999988</v>
      </c>
      <c r="N12" s="24">
        <f>8591249-E12-F12-G12-H12-I12-J12-K12-L12-M12</f>
        <v>854182.16000000015</v>
      </c>
      <c r="O12" s="25">
        <f>9473487.37-E12-F12-G12-H12-I12-J12-K12-L12-M12-N12</f>
        <v>882238.36999999941</v>
      </c>
      <c r="P12" s="26"/>
    </row>
    <row r="13" spans="1:16" x14ac:dyDescent="0.7">
      <c r="A13" s="21" t="s">
        <v>23</v>
      </c>
      <c r="B13" s="22">
        <v>1000000</v>
      </c>
      <c r="C13" s="22">
        <v>0</v>
      </c>
      <c r="D13" s="18">
        <f t="shared" ref="D13:D20" si="1">SUM(E13:P13)</f>
        <v>342200.12</v>
      </c>
      <c r="E13" s="27">
        <v>0</v>
      </c>
      <c r="F13" s="27">
        <v>0</v>
      </c>
      <c r="G13" s="26">
        <v>0</v>
      </c>
      <c r="H13" s="26">
        <f>82600-E13-F13-G13</f>
        <v>82600</v>
      </c>
      <c r="I13" s="25">
        <f>82600-E13-F13-G13-H13</f>
        <v>0</v>
      </c>
      <c r="J13" s="26">
        <f>237180-E13-F13-G13-H13-I13</f>
        <v>154580</v>
      </c>
      <c r="K13" s="33">
        <f>82600-E13-F13-G13-H13-I13-J13</f>
        <v>-154580</v>
      </c>
      <c r="L13" s="29">
        <f>82600-E13-F13-G13-H13-I13-J13-K13</f>
        <v>0</v>
      </c>
      <c r="M13" s="7">
        <f>82600-E13-F13-G13-H13-I13-J13-K13-L13</f>
        <v>0</v>
      </c>
      <c r="N13" s="24">
        <f>200600.12-E13-F13-G13-H13-I13-J13-K13-L13-M13</f>
        <v>118000.12</v>
      </c>
      <c r="O13" s="17">
        <f>342200.12-E13-F13-G13-H13-I13-J13-K13-L13-M13-N13</f>
        <v>141600</v>
      </c>
      <c r="P13" s="34"/>
    </row>
    <row r="14" spans="1:16" x14ac:dyDescent="0.7">
      <c r="A14" s="21" t="s">
        <v>24</v>
      </c>
      <c r="B14" s="22">
        <v>6800000</v>
      </c>
      <c r="C14" s="22">
        <v>-2000000</v>
      </c>
      <c r="D14" s="18">
        <f t="shared" si="1"/>
        <v>4271582.5</v>
      </c>
      <c r="E14" s="27">
        <v>0</v>
      </c>
      <c r="F14" s="27">
        <f>199600-E14</f>
        <v>199600</v>
      </c>
      <c r="G14" s="2">
        <f>470050-E14-F14</f>
        <v>270450</v>
      </c>
      <c r="H14" s="2">
        <f>819535-E14-F14-G14</f>
        <v>349485</v>
      </c>
      <c r="I14" s="7">
        <f>1214002.5-E14-F14-G14-H14</f>
        <v>394467.5</v>
      </c>
      <c r="J14" s="2">
        <f>1713845-E14-F14-G14-H14-I14</f>
        <v>499842.5</v>
      </c>
      <c r="K14" s="35">
        <f>2137090-E14-F14-G14-H14-I14-J14</f>
        <v>423245</v>
      </c>
      <c r="L14" s="25">
        <f>2648260-E14-F14-G14-H14-I14-J14-K14</f>
        <v>511170</v>
      </c>
      <c r="M14" s="7">
        <f>3619192.5-E14-F14-G14-H14-I14-J14-K14-L14</f>
        <v>970932.5</v>
      </c>
      <c r="N14" s="24">
        <f>3748367.5-E14-F14-G14-H14-I14-J14-K14-L14-M14</f>
        <v>129175</v>
      </c>
      <c r="O14" s="25">
        <f>4271582.5-E14-F14-G14-H14-I14-J14-K14-L14-M14-N14</f>
        <v>523215</v>
      </c>
      <c r="P14" s="26"/>
    </row>
    <row r="15" spans="1:16" x14ac:dyDescent="0.7">
      <c r="A15" s="21" t="s">
        <v>25</v>
      </c>
      <c r="B15" s="22">
        <v>300000</v>
      </c>
      <c r="C15" s="22">
        <v>600000</v>
      </c>
      <c r="D15" s="18">
        <f t="shared" si="1"/>
        <v>859920</v>
      </c>
      <c r="E15" s="27">
        <v>0</v>
      </c>
      <c r="F15" s="27">
        <v>0</v>
      </c>
      <c r="G15" s="2">
        <v>0</v>
      </c>
      <c r="H15" s="2">
        <f>101200-E15-F15-G15</f>
        <v>101200</v>
      </c>
      <c r="I15" s="7">
        <f>332040-E15-F15-G15-H15</f>
        <v>230840</v>
      </c>
      <c r="J15" s="2">
        <f>416920-E15-F15-G15-H15-I15</f>
        <v>84880</v>
      </c>
      <c r="K15" s="23">
        <f>476320-E15-F15-G15-H15-I15-J15</f>
        <v>59400</v>
      </c>
      <c r="L15" s="25">
        <f>514120-E15-F15-G15-H15-I15-J15-K15</f>
        <v>37800</v>
      </c>
      <c r="M15" s="7">
        <f>587920-E15-F15-G15-H15-I15-J15-K15-L15</f>
        <v>73800</v>
      </c>
      <c r="N15" s="24">
        <f>587920-E15-F15-G15-H15-I15-J15-K15-L15-M15</f>
        <v>0</v>
      </c>
      <c r="O15" s="25">
        <f>859920-E15-F15-G15-H15-I15-J15-K15-L15-M15-N15</f>
        <v>272000</v>
      </c>
      <c r="P15" s="34"/>
    </row>
    <row r="16" spans="1:16" x14ac:dyDescent="0.7">
      <c r="A16" s="21" t="s">
        <v>26</v>
      </c>
      <c r="B16" s="22">
        <v>3778319</v>
      </c>
      <c r="C16" s="22">
        <v>0</v>
      </c>
      <c r="D16" s="18">
        <f t="shared" si="1"/>
        <v>6464161.3400000017</v>
      </c>
      <c r="E16" s="32">
        <v>0</v>
      </c>
      <c r="F16" s="27">
        <v>0</v>
      </c>
      <c r="G16" s="2">
        <f>328741.77-E16-F16</f>
        <v>328741.77</v>
      </c>
      <c r="H16" s="2">
        <f>442375.77-E16-F16-G16</f>
        <v>113634</v>
      </c>
      <c r="I16" s="7">
        <f>520255.77-E16-F16-G16-H16</f>
        <v>77880</v>
      </c>
      <c r="J16" s="2">
        <f>1140062.82-E16-F16-G16-H16-I16</f>
        <v>619807.05000000005</v>
      </c>
      <c r="K16" s="36">
        <f>1386895.22-E16-F16-G16-H16-I16-J16</f>
        <v>246832.39999999991</v>
      </c>
      <c r="L16" s="25">
        <f>1870884.91-E16-F16-G16-H16-I16-J16-K16</f>
        <v>483989.68999999994</v>
      </c>
      <c r="M16" s="7">
        <f>1948764.91-E16-F16-G16-H16-I16-J16-K16-L16</f>
        <v>77880</v>
      </c>
      <c r="N16" s="24">
        <f>2104524.91-E16-F16-G16-H16-I16-J16-K16-L16-M16</f>
        <v>155760.00000000023</v>
      </c>
      <c r="O16" s="25">
        <f>6464161.34-E16-F16-G16-H16-I16-J16-K16-L16-M16-N16</f>
        <v>4359636.4300000016</v>
      </c>
      <c r="P16" s="26"/>
    </row>
    <row r="17" spans="1:16" x14ac:dyDescent="0.7">
      <c r="A17" s="21" t="s">
        <v>27</v>
      </c>
      <c r="B17" s="22">
        <v>1824186</v>
      </c>
      <c r="C17" s="22">
        <v>1035000</v>
      </c>
      <c r="D17" s="18">
        <f t="shared" si="1"/>
        <v>3209585.6800000006</v>
      </c>
      <c r="E17" s="32">
        <v>82840.53</v>
      </c>
      <c r="F17" s="2">
        <f>954143.87-E17</f>
        <v>871303.34</v>
      </c>
      <c r="G17" s="2">
        <f>1161797.56-E17-F17</f>
        <v>207653.69000000006</v>
      </c>
      <c r="H17" s="2">
        <f>1486660.38-E17-F17-G17</f>
        <v>324862.81999999983</v>
      </c>
      <c r="I17" s="7">
        <f>1691933.26-E17-F17-G17-H17</f>
        <v>205272.88000000012</v>
      </c>
      <c r="J17" s="2">
        <f>1896363.98-E17-F17-G17-H17-I17</f>
        <v>204430.71999999997</v>
      </c>
      <c r="K17" s="23">
        <f>2100804.5-E17-F17-G17-H17-I17-J17</f>
        <v>204440.5199999999</v>
      </c>
      <c r="L17" s="25">
        <f>2204329.16-E17-F17-G17-H17-I17-J17-K17</f>
        <v>103524.66000000061</v>
      </c>
      <c r="M17" s="7">
        <f>2311400.76-E17-F17-G17-H17-I17-J17-K17-L17</f>
        <v>107071.59999999974</v>
      </c>
      <c r="N17" s="24">
        <f>3105085.4-E17-F17-G17-H17-I17-J17-K17-L17-M17</f>
        <v>793684.64000000013</v>
      </c>
      <c r="O17" s="25">
        <f>3209585.68-E17-F17-G17-H17-I17-J17-K17-L17-M17-N17</f>
        <v>104500.28000000014</v>
      </c>
      <c r="P17" s="26"/>
    </row>
    <row r="18" spans="1:16" ht="93" x14ac:dyDescent="0.7">
      <c r="A18" s="21" t="s">
        <v>28</v>
      </c>
      <c r="B18" s="22">
        <v>12500000</v>
      </c>
      <c r="C18" s="22">
        <v>3471819.95</v>
      </c>
      <c r="D18" s="18">
        <f>SUM(E18:P18)</f>
        <v>2940397.69</v>
      </c>
      <c r="E18" s="27">
        <v>0</v>
      </c>
      <c r="F18" s="27"/>
      <c r="G18" s="2">
        <f>155392.15-E18-F18</f>
        <v>155392.15</v>
      </c>
      <c r="H18" s="2">
        <f>381253.79-E18-F18-G18</f>
        <v>225861.63999999998</v>
      </c>
      <c r="I18" s="7">
        <f>493628.97-E18-F18-G18-H18</f>
        <v>112375.17999999996</v>
      </c>
      <c r="J18" s="2">
        <f>514809.57-E18-F18-G18-H18-I18</f>
        <v>21180.600000000093</v>
      </c>
      <c r="K18" s="23">
        <f>514809.57-E18-F18-G18-H18-I18-J18</f>
        <v>0</v>
      </c>
      <c r="L18" s="25">
        <f>1570512.99-E18-F18-G18-H18-I18-J18-K18</f>
        <v>1055703.4200000002</v>
      </c>
      <c r="M18" s="7">
        <f>2200263.4-E18-F18-G18-H18-I18-J18-K18-L18</f>
        <v>629750.40999999992</v>
      </c>
      <c r="N18" s="24">
        <f>2309743.8-E18-F18-G18-H18-I18-J18-K18-L18-M18</f>
        <v>109480.39999999991</v>
      </c>
      <c r="O18" s="25">
        <f>2940397.69-E18-F18-G18-H18-I18-J18-K18-L18-M18-N18</f>
        <v>630653.88999999966</v>
      </c>
      <c r="P18" s="26"/>
    </row>
    <row r="19" spans="1:16" ht="93" x14ac:dyDescent="0.7">
      <c r="A19" s="21" t="s">
        <v>29</v>
      </c>
      <c r="B19" s="22">
        <v>15498443</v>
      </c>
      <c r="C19" s="22">
        <v>-4390338</v>
      </c>
      <c r="D19" s="18">
        <f t="shared" si="1"/>
        <v>7058928.54</v>
      </c>
      <c r="E19" s="27">
        <v>0</v>
      </c>
      <c r="F19" s="27"/>
      <c r="G19" s="26">
        <f>800658.97-E19-F19</f>
        <v>800658.97</v>
      </c>
      <c r="H19" s="2">
        <f>3082812.97-E19-F19-G19</f>
        <v>2282154</v>
      </c>
      <c r="I19" s="7">
        <f>3057119.65-E19-F19-G19-H19</f>
        <v>-25693.320000000298</v>
      </c>
      <c r="J19" s="2">
        <f>3465862.97-E19-F19-G19-H19-I19</f>
        <v>408743.3200000003</v>
      </c>
      <c r="K19" s="23">
        <f>4179942.97-E19-F19-G19-H19-I19-J19</f>
        <v>714080</v>
      </c>
      <c r="L19" s="25">
        <f>6478933.62-E19-F19-G19-H19-I19-J19-K19</f>
        <v>2298990.6500000004</v>
      </c>
      <c r="M19" s="7">
        <f>7539788.55-E19-F19-G19-H19-I19-J19-K19-L19</f>
        <v>1060854.9299999997</v>
      </c>
      <c r="N19" s="24">
        <f>8324697.62-E19-F19-G19-H19-I19-J19-K19-L19-M19</f>
        <v>784909.0700000003</v>
      </c>
      <c r="O19" s="25">
        <f>7058928.54-E19-F19-G19-H19-I19-J19-K19-L19-M19-N19</f>
        <v>-1265769.08</v>
      </c>
      <c r="P19" s="26"/>
    </row>
    <row r="20" spans="1:16" x14ac:dyDescent="0.7">
      <c r="A20" s="21" t="s">
        <v>92</v>
      </c>
      <c r="B20" s="22">
        <v>2350000</v>
      </c>
      <c r="C20" s="22">
        <v>6037351.6399999997</v>
      </c>
      <c r="D20" s="18">
        <f t="shared" si="1"/>
        <v>7091510.6500000004</v>
      </c>
      <c r="E20" s="27">
        <f>-F20-G20</f>
        <v>0</v>
      </c>
      <c r="F20" s="27">
        <v>0</v>
      </c>
      <c r="G20" s="2">
        <v>0</v>
      </c>
      <c r="H20" s="2">
        <f>0-E20-F20-G20</f>
        <v>0</v>
      </c>
      <c r="I20" s="25">
        <f>264314.08-E20-F20-G20-H20</f>
        <v>264314.08</v>
      </c>
      <c r="J20" s="26">
        <f>914828.04-E20-F20-G20-H20-I20</f>
        <v>650513.96</v>
      </c>
      <c r="K20" s="33">
        <f>1034804.52-E20-F20-G20-H20-I20-J20</f>
        <v>119976.47999999998</v>
      </c>
      <c r="L20" s="25">
        <f>3991076.24-E20-F20-G20-H20-I20-J20-K20</f>
        <v>2956271.72</v>
      </c>
      <c r="M20" s="7">
        <f>4362894.24-E20-F20-G20-H20-I20-J20-K20-L20</f>
        <v>371818</v>
      </c>
      <c r="N20" s="24">
        <f>4362894.24-E20-F20-G20-H20-I20-J20-K20-L20-M20</f>
        <v>0</v>
      </c>
      <c r="O20" s="25">
        <f>7091510.65-E20-F20-G20-H20-J20-I20-K20-L20-M20-N20</f>
        <v>2728616.4100000006</v>
      </c>
      <c r="P20" s="26"/>
    </row>
    <row r="21" spans="1:16" x14ac:dyDescent="0.7">
      <c r="A21" s="13" t="s">
        <v>30</v>
      </c>
      <c r="B21" s="14">
        <f>SUM(B22:B30)</f>
        <v>24669105</v>
      </c>
      <c r="C21" s="14">
        <f>SUM(C22:C30)</f>
        <v>-2657429</v>
      </c>
      <c r="D21" s="15">
        <f>SUM(D22:D30)</f>
        <v>12002585.959999997</v>
      </c>
      <c r="E21" s="27"/>
      <c r="F21" s="27"/>
      <c r="K21" s="31"/>
      <c r="L21" s="16"/>
      <c r="M21" s="7"/>
      <c r="N21" s="24"/>
      <c r="O21" s="16"/>
    </row>
    <row r="22" spans="1:16" x14ac:dyDescent="0.7">
      <c r="A22" s="21" t="s">
        <v>31</v>
      </c>
      <c r="B22" s="22">
        <v>2350000</v>
      </c>
      <c r="C22" s="22">
        <v>-1450000</v>
      </c>
      <c r="D22" s="18">
        <f>SUM(E22:P22)</f>
        <v>898974.31</v>
      </c>
      <c r="E22" s="27">
        <v>0</v>
      </c>
      <c r="F22" s="2">
        <v>0</v>
      </c>
      <c r="G22" s="2">
        <v>0</v>
      </c>
      <c r="H22" s="2">
        <f>197133.4-E22-F22-G22</f>
        <v>197133.4</v>
      </c>
      <c r="I22" s="7">
        <f>223962.71-E22-F22-G22-H22</f>
        <v>26829.309999999998</v>
      </c>
      <c r="J22" s="2">
        <f>78829.31-E22-F22-G22-H22-I22</f>
        <v>-145133.4</v>
      </c>
      <c r="K22" s="23">
        <f>223962.71-E22-F22-G22-H22-I22-J22</f>
        <v>145133.4</v>
      </c>
      <c r="L22" s="25">
        <f>580940.31-E22-F22-G22-H22-I22-J22-K22</f>
        <v>356977.6</v>
      </c>
      <c r="M22" s="7">
        <f>743804.31-E22-F22-G22-H22-I22-J22-K22-L22</f>
        <v>162864</v>
      </c>
      <c r="N22" s="24">
        <f>743804.31-E22-F22-G22-H22-I22-J22-K22-L22-M22</f>
        <v>0</v>
      </c>
      <c r="O22" s="25">
        <f>898974.31-E22-F22-H22-I22-J22-K22-L22-M22-N22</f>
        <v>155170.00000000012</v>
      </c>
      <c r="P22" s="26"/>
    </row>
    <row r="23" spans="1:16" x14ac:dyDescent="0.7">
      <c r="A23" s="21" t="s">
        <v>32</v>
      </c>
      <c r="B23" s="22">
        <v>0</v>
      </c>
      <c r="C23" s="22">
        <v>1197510</v>
      </c>
      <c r="D23" s="18">
        <f t="shared" ref="D23:D61" si="2">SUM(E23:P23)</f>
        <v>283790</v>
      </c>
      <c r="E23" s="27">
        <v>0</v>
      </c>
      <c r="F23" s="27">
        <v>0</v>
      </c>
      <c r="G23" s="26">
        <v>0</v>
      </c>
      <c r="H23" s="26">
        <v>0</v>
      </c>
      <c r="I23" s="25">
        <v>0</v>
      </c>
      <c r="J23" s="26">
        <f>136290-E23-F23-G23-H23-I23</f>
        <v>136290</v>
      </c>
      <c r="K23" s="33">
        <f>145730-E23-F23-G23-H23-I23-J23</f>
        <v>9440</v>
      </c>
      <c r="L23" s="29">
        <f>136290-E23-F23-G23-H23-I23-J23-K23</f>
        <v>-9440</v>
      </c>
      <c r="M23" s="7">
        <f>136290-E23-F23-G23-H23-I23-J23-K23-L23</f>
        <v>0</v>
      </c>
      <c r="N23" s="24">
        <f>136290-E23-F23-G23-H23-I23-J23-K23-L23-M23</f>
        <v>0</v>
      </c>
      <c r="O23" s="29">
        <f>283790-E23-F23-G23-H23-I23-J23-K23-L23-M23-N23</f>
        <v>147500</v>
      </c>
      <c r="P23" s="34"/>
    </row>
    <row r="24" spans="1:16" x14ac:dyDescent="0.7">
      <c r="A24" s="21" t="s">
        <v>33</v>
      </c>
      <c r="B24" s="22">
        <v>1320000</v>
      </c>
      <c r="C24" s="22">
        <v>2500000</v>
      </c>
      <c r="D24" s="18">
        <f>SUM(E24:P24)</f>
        <v>1155077.76</v>
      </c>
      <c r="E24" s="27">
        <v>0</v>
      </c>
      <c r="F24" s="27">
        <v>0</v>
      </c>
      <c r="G24" s="2">
        <f>308331-E24-F24</f>
        <v>308331</v>
      </c>
      <c r="H24" s="2">
        <v>0</v>
      </c>
      <c r="I24" s="95">
        <f>6900-E24-F24-G24-H24</f>
        <v>-301431</v>
      </c>
      <c r="J24" s="2">
        <f>6900-E24-F24-G24-H24-I24</f>
        <v>0</v>
      </c>
      <c r="K24" s="23">
        <f>308331-E24-F24-G24-H24-I24-J24</f>
        <v>301431</v>
      </c>
      <c r="L24" s="25">
        <f>308331-E24-F24-G24-H24-I24-J24-K24</f>
        <v>0</v>
      </c>
      <c r="M24" s="7">
        <f>749429.28-E24-F24-G24-H24-I24-J24-K24-L24</f>
        <v>441098.28</v>
      </c>
      <c r="N24" s="24">
        <f>994426.66-E24-F24-G24-H24-I24-J24-K24-L24-M24</f>
        <v>244997.38</v>
      </c>
      <c r="O24" s="25">
        <f>1155077.76-E24-F24-G24-H24-I24-J24-K24-L24-M24-N24</f>
        <v>160651.09999999998</v>
      </c>
      <c r="P24" s="26"/>
    </row>
    <row r="25" spans="1:16" x14ac:dyDescent="0.7">
      <c r="A25" s="21" t="s">
        <v>34</v>
      </c>
      <c r="B25" s="22">
        <v>0</v>
      </c>
      <c r="C25" s="22"/>
      <c r="D25" s="18">
        <f t="shared" si="2"/>
        <v>0</v>
      </c>
      <c r="E25" s="27">
        <v>0</v>
      </c>
      <c r="F25" s="27">
        <v>0</v>
      </c>
      <c r="G25" s="3">
        <v>0</v>
      </c>
      <c r="H25" s="28"/>
      <c r="I25" s="16">
        <v>0</v>
      </c>
      <c r="J25" s="3">
        <v>0</v>
      </c>
      <c r="K25" s="50">
        <v>0</v>
      </c>
      <c r="L25" s="16">
        <v>0</v>
      </c>
      <c r="M25" s="7"/>
      <c r="N25" s="24"/>
      <c r="O25" s="25">
        <v>0</v>
      </c>
    </row>
    <row r="26" spans="1:16" x14ac:dyDescent="0.7">
      <c r="A26" s="21" t="s">
        <v>35</v>
      </c>
      <c r="B26" s="22">
        <v>0</v>
      </c>
      <c r="C26" s="22">
        <v>368886</v>
      </c>
      <c r="D26" s="18">
        <f t="shared" si="2"/>
        <v>0</v>
      </c>
      <c r="E26" s="27">
        <v>0</v>
      </c>
      <c r="F26" s="27">
        <v>0</v>
      </c>
      <c r="G26" s="20">
        <v>0</v>
      </c>
      <c r="H26" s="26">
        <v>0</v>
      </c>
      <c r="I26" s="25">
        <v>0</v>
      </c>
      <c r="J26" s="26">
        <v>0</v>
      </c>
      <c r="K26" s="33">
        <f>21428.89-E26-F26-G26-H26-I26-J26</f>
        <v>21428.89</v>
      </c>
      <c r="L26" s="25">
        <f>0-E26-F26-G26-H26-I26-J26-K26</f>
        <v>-21428.89</v>
      </c>
      <c r="M26" s="7">
        <v>0</v>
      </c>
      <c r="N26" s="24"/>
      <c r="O26" s="25">
        <f>0-E26-F26-G26-H26-I26-J26-K26-L26-M26-N26</f>
        <v>0</v>
      </c>
      <c r="P26" s="26"/>
    </row>
    <row r="27" spans="1:16" ht="93" x14ac:dyDescent="0.7">
      <c r="A27" s="21" t="s">
        <v>36</v>
      </c>
      <c r="B27" s="22"/>
      <c r="C27" s="22">
        <v>419000</v>
      </c>
      <c r="D27" s="18">
        <f t="shared" si="2"/>
        <v>7516.6000000000058</v>
      </c>
      <c r="E27" s="27">
        <v>0</v>
      </c>
      <c r="F27" s="27">
        <v>0</v>
      </c>
      <c r="G27" s="3">
        <v>0</v>
      </c>
      <c r="H27" s="3">
        <v>0</v>
      </c>
      <c r="I27" s="37">
        <v>0</v>
      </c>
      <c r="J27" s="28">
        <v>0</v>
      </c>
      <c r="K27" s="50">
        <f>28320-E27-F27-G27-H27-I27-J27</f>
        <v>28320</v>
      </c>
      <c r="L27" s="29">
        <f>109480.4-E27-F27-G27-H27-I27-J27-K27</f>
        <v>81160.399999999994</v>
      </c>
      <c r="M27" s="7">
        <f>0-E27-F27-G27-H27-I27-J27-K27-L27</f>
        <v>-109480.4</v>
      </c>
      <c r="N27" s="24"/>
      <c r="O27" s="25">
        <f>7516.6-E27-F27-G27-H27-I27-J27-K27-L27-M27-N27</f>
        <v>7516.6000000000058</v>
      </c>
      <c r="P27" s="26"/>
    </row>
    <row r="28" spans="1:16" ht="81.75" customHeight="1" x14ac:dyDescent="0.7">
      <c r="A28" s="21" t="s">
        <v>37</v>
      </c>
      <c r="B28" s="22">
        <v>9500000</v>
      </c>
      <c r="C28" s="22">
        <v>-740000</v>
      </c>
      <c r="D28" s="18">
        <f>E28+F28+G28+H28+I28+J28+K28+L28+M28+N28+O28+P28</f>
        <v>6362806.0999999978</v>
      </c>
      <c r="E28" s="38">
        <v>349542.7</v>
      </c>
      <c r="F28" s="27">
        <f>717125.31-E28</f>
        <v>367582.61000000004</v>
      </c>
      <c r="G28" s="39">
        <f>1144702.72-E28-F28</f>
        <v>427577.41</v>
      </c>
      <c r="H28" s="2">
        <f>1566952.79-E28-F28-G28</f>
        <v>422250.07</v>
      </c>
      <c r="I28" s="7">
        <f>2002834.74-E28-F28-G28-H28</f>
        <v>435881.95</v>
      </c>
      <c r="J28" s="40">
        <f>3180429.39-E28-F28-G28-H28-I28</f>
        <v>1177594.6500000001</v>
      </c>
      <c r="K28" s="23">
        <f>3569499.81-E28-F28-G28-H28-I28-J28</f>
        <v>389070.41999999969</v>
      </c>
      <c r="L28" s="41">
        <f>4179875.05-E28-F28-G28-H28-I28-J28-K28</f>
        <v>610375.23999999976</v>
      </c>
      <c r="M28" s="42">
        <f>5384046.34-E28-F28-G28-H28-I28-J28-K28-L28</f>
        <v>1204171.2899999998</v>
      </c>
      <c r="N28" s="43">
        <f>5916283.09-E28-F28-G28-H28-I28-J28-K28-L28-M28</f>
        <v>532236.74999999884</v>
      </c>
      <c r="O28" s="25">
        <f>6362806.1-E28-F28-G28-H28-I28-J28-K28-L28-M28-N28</f>
        <v>446523.00999999978</v>
      </c>
      <c r="P28" s="44"/>
    </row>
    <row r="29" spans="1:16" s="46" customFormat="1" ht="93" x14ac:dyDescent="0.7">
      <c r="A29" s="21" t="s">
        <v>38</v>
      </c>
      <c r="B29" s="22">
        <v>0</v>
      </c>
      <c r="C29" s="22"/>
      <c r="D29" s="18">
        <f t="shared" si="2"/>
        <v>0</v>
      </c>
      <c r="E29" s="45">
        <v>0</v>
      </c>
      <c r="F29" s="27">
        <v>0</v>
      </c>
      <c r="G29" s="46">
        <v>0</v>
      </c>
      <c r="H29" s="46">
        <v>0</v>
      </c>
      <c r="I29" s="47">
        <v>0</v>
      </c>
      <c r="K29" s="48"/>
      <c r="L29" s="47"/>
      <c r="M29" s="42">
        <v>0</v>
      </c>
      <c r="N29" s="43"/>
      <c r="O29" s="25">
        <v>0</v>
      </c>
    </row>
    <row r="30" spans="1:16" x14ac:dyDescent="0.7">
      <c r="A30" s="21" t="s">
        <v>39</v>
      </c>
      <c r="B30" s="22">
        <v>11499105</v>
      </c>
      <c r="C30" s="22">
        <v>-4952825</v>
      </c>
      <c r="D30" s="18">
        <f t="shared" si="2"/>
        <v>3294421.19</v>
      </c>
      <c r="E30" s="27">
        <v>0</v>
      </c>
      <c r="F30" s="27">
        <v>0</v>
      </c>
      <c r="G30" s="2">
        <f>411672.5-E30-F30</f>
        <v>411672.5</v>
      </c>
      <c r="H30" s="2">
        <f>411672.5-E30-F30-G30</f>
        <v>0</v>
      </c>
      <c r="I30" s="7">
        <f>456970.75-E30-F30-G30-H30</f>
        <v>45298.25</v>
      </c>
      <c r="J30" s="2">
        <f>456970.75-E30-F30-G30-H30-I30</f>
        <v>0</v>
      </c>
      <c r="K30" s="23">
        <f>1306537.25-G30-H30-I30-J30</f>
        <v>849566.5</v>
      </c>
      <c r="L30" s="25">
        <f>2022007.64-E30-F30-G30-H30-I30-J30-K30</f>
        <v>715470.3899999999</v>
      </c>
      <c r="M30" s="7">
        <f>3308274.02-E30-F30-G30-H30-I30-J30-K30-L30</f>
        <v>1286266.3800000001</v>
      </c>
      <c r="N30" s="24">
        <f>3417447.99-E30-F30-G30-H30-I30-J30-K30-L30-M30</f>
        <v>109173.9700000002</v>
      </c>
      <c r="O30" s="25">
        <f>3294421.19-E30-F30-G30-H30-I30-J30-K30-L30-M30-N30</f>
        <v>-123026.80000000028</v>
      </c>
      <c r="P30" s="26"/>
    </row>
    <row r="31" spans="1:16" x14ac:dyDescent="0.7">
      <c r="A31" s="13" t="s">
        <v>40</v>
      </c>
      <c r="B31" s="49">
        <f>SUM(B32:B38)</f>
        <v>0</v>
      </c>
      <c r="C31" s="49">
        <f>SUM(C32:C38)</f>
        <v>0</v>
      </c>
      <c r="D31" s="15">
        <f>SUM(D32:D38)</f>
        <v>0</v>
      </c>
      <c r="E31" s="30"/>
      <c r="K31" s="31">
        <v>0</v>
      </c>
      <c r="L31" s="16"/>
      <c r="M31" s="7"/>
      <c r="N31" s="24"/>
      <c r="O31" s="16"/>
    </row>
    <row r="32" spans="1:16" x14ac:dyDescent="0.7">
      <c r="A32" s="21" t="s">
        <v>41</v>
      </c>
      <c r="B32" s="14">
        <v>0</v>
      </c>
      <c r="C32" s="14">
        <v>0</v>
      </c>
      <c r="D32" s="18">
        <f t="shared" si="2"/>
        <v>0</v>
      </c>
      <c r="E32" s="27">
        <v>0</v>
      </c>
      <c r="F32" s="27">
        <v>0</v>
      </c>
      <c r="G32" s="3">
        <v>0</v>
      </c>
      <c r="H32" s="3">
        <v>0</v>
      </c>
      <c r="I32" s="16">
        <v>0</v>
      </c>
      <c r="K32" s="31"/>
      <c r="L32" s="16"/>
      <c r="M32" s="7"/>
      <c r="N32" s="24"/>
      <c r="O32" s="16"/>
    </row>
    <row r="33" spans="1:16" ht="93" x14ac:dyDescent="0.7">
      <c r="A33" s="21" t="s">
        <v>42</v>
      </c>
      <c r="B33" s="14">
        <v>0</v>
      </c>
      <c r="C33" s="14">
        <v>0</v>
      </c>
      <c r="D33" s="18">
        <f t="shared" si="2"/>
        <v>0</v>
      </c>
      <c r="E33" s="27">
        <v>0</v>
      </c>
      <c r="F33" s="27">
        <v>0</v>
      </c>
      <c r="G33" s="3">
        <v>0</v>
      </c>
      <c r="H33" s="3">
        <v>0</v>
      </c>
      <c r="I33" s="16">
        <v>0</v>
      </c>
      <c r="K33" s="31">
        <v>0</v>
      </c>
      <c r="L33" s="16"/>
      <c r="M33" s="7"/>
      <c r="N33" s="24"/>
      <c r="O33" s="16"/>
    </row>
    <row r="34" spans="1:16" ht="93" x14ac:dyDescent="0.7">
      <c r="A34" s="21" t="s">
        <v>43</v>
      </c>
      <c r="B34" s="14">
        <v>0</v>
      </c>
      <c r="C34" s="14">
        <v>0</v>
      </c>
      <c r="D34" s="18">
        <f t="shared" si="2"/>
        <v>0</v>
      </c>
      <c r="E34" s="27">
        <v>0</v>
      </c>
      <c r="F34" s="27">
        <v>0</v>
      </c>
      <c r="G34" s="3">
        <v>0</v>
      </c>
      <c r="H34" s="3">
        <v>0</v>
      </c>
      <c r="I34" s="16">
        <v>0</v>
      </c>
      <c r="K34" s="31">
        <v>0</v>
      </c>
      <c r="L34" s="16"/>
      <c r="M34" s="7"/>
      <c r="N34" s="24"/>
      <c r="O34" s="16"/>
    </row>
    <row r="35" spans="1:16" ht="93" x14ac:dyDescent="0.7">
      <c r="A35" s="21" t="s">
        <v>44</v>
      </c>
      <c r="B35" s="14">
        <v>0</v>
      </c>
      <c r="C35" s="14">
        <v>0</v>
      </c>
      <c r="D35" s="18">
        <f t="shared" si="2"/>
        <v>0</v>
      </c>
      <c r="E35" s="27">
        <v>0</v>
      </c>
      <c r="F35" s="27">
        <v>0</v>
      </c>
      <c r="G35" s="3">
        <v>0</v>
      </c>
      <c r="H35" s="3">
        <v>0</v>
      </c>
      <c r="I35" s="16">
        <v>0</v>
      </c>
      <c r="K35" s="31">
        <v>0</v>
      </c>
      <c r="L35" s="16"/>
      <c r="M35" s="7"/>
      <c r="N35" s="24"/>
      <c r="O35" s="16"/>
    </row>
    <row r="36" spans="1:16" ht="93" x14ac:dyDescent="0.7">
      <c r="A36" s="21" t="s">
        <v>45</v>
      </c>
      <c r="B36" s="14">
        <v>0</v>
      </c>
      <c r="C36" s="14">
        <v>0</v>
      </c>
      <c r="D36" s="18">
        <f t="shared" si="2"/>
        <v>0</v>
      </c>
      <c r="E36" s="27">
        <v>0</v>
      </c>
      <c r="F36" s="27">
        <v>0</v>
      </c>
      <c r="G36" s="3">
        <v>0</v>
      </c>
      <c r="H36" s="3">
        <v>0</v>
      </c>
      <c r="I36" s="16">
        <v>0</v>
      </c>
      <c r="K36" s="31">
        <v>0</v>
      </c>
      <c r="L36" s="16"/>
      <c r="M36" s="7"/>
      <c r="N36" s="24"/>
      <c r="O36" s="16"/>
    </row>
    <row r="37" spans="1:16" x14ac:dyDescent="0.7">
      <c r="A37" s="21" t="s">
        <v>46</v>
      </c>
      <c r="B37" s="14">
        <v>0</v>
      </c>
      <c r="C37" s="14">
        <v>0</v>
      </c>
      <c r="D37" s="18">
        <f t="shared" si="2"/>
        <v>0</v>
      </c>
      <c r="E37" s="27">
        <v>0</v>
      </c>
      <c r="F37" s="27">
        <v>0</v>
      </c>
      <c r="G37" s="3">
        <v>0</v>
      </c>
      <c r="H37" s="3">
        <v>0</v>
      </c>
      <c r="I37" s="16">
        <v>0</v>
      </c>
      <c r="K37" s="31">
        <v>0</v>
      </c>
      <c r="L37" s="16"/>
      <c r="M37" s="7"/>
      <c r="N37" s="24"/>
      <c r="O37" s="16"/>
    </row>
    <row r="38" spans="1:16" ht="93" x14ac:dyDescent="0.7">
      <c r="A38" s="21" t="s">
        <v>47</v>
      </c>
      <c r="B38" s="14">
        <v>0</v>
      </c>
      <c r="C38" s="14">
        <v>0</v>
      </c>
      <c r="D38" s="18">
        <f t="shared" si="2"/>
        <v>0</v>
      </c>
      <c r="E38" s="27">
        <v>0</v>
      </c>
      <c r="F38" s="27">
        <v>0</v>
      </c>
      <c r="G38" s="3">
        <v>0</v>
      </c>
      <c r="H38" s="3">
        <v>0</v>
      </c>
      <c r="I38" s="16">
        <v>0</v>
      </c>
      <c r="K38" s="31">
        <v>0</v>
      </c>
      <c r="L38" s="16"/>
      <c r="M38" s="7"/>
      <c r="N38" s="24"/>
      <c r="O38" s="16"/>
    </row>
    <row r="39" spans="1:16" x14ac:dyDescent="0.7">
      <c r="A39" s="13" t="s">
        <v>48</v>
      </c>
      <c r="B39" s="49">
        <f>SUM(B40:B46)</f>
        <v>0</v>
      </c>
      <c r="C39" s="49">
        <f>SUM(C40:C46)</f>
        <v>0</v>
      </c>
      <c r="D39" s="15">
        <f>SUM(D40:D46)</f>
        <v>0</v>
      </c>
      <c r="E39" s="30"/>
      <c r="K39" s="31"/>
      <c r="L39" s="16"/>
      <c r="M39" s="7"/>
      <c r="N39" s="24"/>
      <c r="O39" s="16"/>
    </row>
    <row r="40" spans="1:16" x14ac:dyDescent="0.7">
      <c r="A40" s="21" t="s">
        <v>49</v>
      </c>
      <c r="B40" s="14">
        <v>0</v>
      </c>
      <c r="C40" s="14">
        <v>0</v>
      </c>
      <c r="D40" s="18">
        <f t="shared" si="2"/>
        <v>0</v>
      </c>
      <c r="E40" s="27">
        <v>0</v>
      </c>
      <c r="F40" s="3">
        <v>0</v>
      </c>
      <c r="G40" s="3">
        <v>0</v>
      </c>
      <c r="H40" s="3">
        <v>0</v>
      </c>
      <c r="I40" s="16">
        <v>0</v>
      </c>
      <c r="K40" s="31"/>
      <c r="L40" s="16"/>
      <c r="M40" s="7"/>
      <c r="N40" s="24"/>
      <c r="O40" s="16"/>
    </row>
    <row r="41" spans="1:16" ht="93" x14ac:dyDescent="0.7">
      <c r="A41" s="21" t="s">
        <v>50</v>
      </c>
      <c r="B41" s="14">
        <v>0</v>
      </c>
      <c r="C41" s="14">
        <v>0</v>
      </c>
      <c r="D41" s="18">
        <f t="shared" si="2"/>
        <v>0</v>
      </c>
      <c r="E41" s="27"/>
      <c r="F41" s="3">
        <v>0</v>
      </c>
      <c r="G41" s="3">
        <v>0</v>
      </c>
      <c r="H41" s="3">
        <v>0</v>
      </c>
      <c r="I41" s="16">
        <v>0</v>
      </c>
      <c r="K41" s="31">
        <v>0</v>
      </c>
      <c r="L41" s="16"/>
      <c r="M41" s="7"/>
      <c r="N41" s="24"/>
      <c r="O41" s="16"/>
    </row>
    <row r="42" spans="1:16" ht="93" x14ac:dyDescent="0.7">
      <c r="A42" s="21" t="s">
        <v>51</v>
      </c>
      <c r="B42" s="14">
        <v>0</v>
      </c>
      <c r="C42" s="14">
        <v>0</v>
      </c>
      <c r="D42" s="18">
        <f t="shared" si="2"/>
        <v>0</v>
      </c>
      <c r="E42" s="27">
        <v>0</v>
      </c>
      <c r="F42" s="3">
        <v>0</v>
      </c>
      <c r="G42" s="3">
        <v>0</v>
      </c>
      <c r="H42" s="3">
        <v>0</v>
      </c>
      <c r="I42" s="16">
        <v>0</v>
      </c>
      <c r="K42" s="31">
        <v>0</v>
      </c>
      <c r="L42" s="16"/>
      <c r="M42" s="7"/>
      <c r="N42" s="24"/>
      <c r="O42" s="16"/>
    </row>
    <row r="43" spans="1:16" ht="93" x14ac:dyDescent="0.7">
      <c r="A43" s="21" t="s">
        <v>52</v>
      </c>
      <c r="B43" s="14">
        <v>0</v>
      </c>
      <c r="C43" s="14">
        <v>0</v>
      </c>
      <c r="D43" s="18">
        <f t="shared" si="2"/>
        <v>0</v>
      </c>
      <c r="E43" s="27">
        <v>0</v>
      </c>
      <c r="F43" s="3">
        <v>0</v>
      </c>
      <c r="G43" s="3">
        <v>0</v>
      </c>
      <c r="H43" s="3">
        <v>0</v>
      </c>
      <c r="I43" s="16">
        <v>0</v>
      </c>
      <c r="K43" s="31">
        <v>0</v>
      </c>
      <c r="L43" s="16"/>
      <c r="M43" s="7"/>
      <c r="N43" s="24"/>
      <c r="O43" s="16"/>
    </row>
    <row r="44" spans="1:16" ht="93" x14ac:dyDescent="0.7">
      <c r="A44" s="21" t="s">
        <v>53</v>
      </c>
      <c r="B44" s="14">
        <v>0</v>
      </c>
      <c r="C44" s="14">
        <v>0</v>
      </c>
      <c r="D44" s="18">
        <f t="shared" si="2"/>
        <v>0</v>
      </c>
      <c r="E44" s="27">
        <v>0</v>
      </c>
      <c r="F44" s="3">
        <v>0</v>
      </c>
      <c r="G44" s="3">
        <v>0</v>
      </c>
      <c r="H44" s="3">
        <v>0</v>
      </c>
      <c r="I44" s="16">
        <v>0</v>
      </c>
      <c r="K44" s="31">
        <v>0</v>
      </c>
      <c r="L44" s="16"/>
      <c r="M44" s="7"/>
      <c r="N44" s="24"/>
      <c r="O44" s="16"/>
    </row>
    <row r="45" spans="1:16" x14ac:dyDescent="0.7">
      <c r="A45" s="21" t="s">
        <v>54</v>
      </c>
      <c r="B45" s="14">
        <v>0</v>
      </c>
      <c r="C45" s="14">
        <v>0</v>
      </c>
      <c r="D45" s="18">
        <f t="shared" si="2"/>
        <v>0</v>
      </c>
      <c r="E45" s="27">
        <v>0</v>
      </c>
      <c r="F45" s="3">
        <v>0</v>
      </c>
      <c r="G45" s="3">
        <v>0</v>
      </c>
      <c r="H45" s="3">
        <v>0</v>
      </c>
      <c r="I45" s="16">
        <v>0</v>
      </c>
      <c r="K45" s="31">
        <v>0</v>
      </c>
      <c r="L45" s="16"/>
      <c r="M45" s="7"/>
      <c r="N45" s="24"/>
      <c r="O45" s="16"/>
    </row>
    <row r="46" spans="1:16" ht="93" x14ac:dyDescent="0.7">
      <c r="A46" s="21" t="s">
        <v>55</v>
      </c>
      <c r="B46" s="14">
        <v>0</v>
      </c>
      <c r="C46" s="14">
        <v>0</v>
      </c>
      <c r="D46" s="18">
        <f t="shared" si="2"/>
        <v>0</v>
      </c>
      <c r="E46" s="27">
        <v>0</v>
      </c>
      <c r="F46" s="3">
        <v>0</v>
      </c>
      <c r="G46" s="3">
        <v>0</v>
      </c>
      <c r="H46" s="3">
        <v>0</v>
      </c>
      <c r="I46" s="16">
        <v>0</v>
      </c>
      <c r="K46" s="31">
        <v>0</v>
      </c>
      <c r="L46" s="16"/>
      <c r="M46" s="7"/>
      <c r="N46" s="24"/>
      <c r="O46" s="16"/>
    </row>
    <row r="47" spans="1:16" x14ac:dyDescent="0.7">
      <c r="A47" s="13" t="s">
        <v>56</v>
      </c>
      <c r="B47" s="14">
        <f>SUM(B48:B56)</f>
        <v>11300000</v>
      </c>
      <c r="C47" s="14">
        <f>SUM(C48:C56)</f>
        <v>-334191.89999999991</v>
      </c>
      <c r="D47" s="15">
        <f>SUM(D48:D56)</f>
        <v>2801562.7699999996</v>
      </c>
      <c r="E47" s="30"/>
      <c r="K47" s="31"/>
      <c r="L47" s="16"/>
      <c r="M47" s="7"/>
      <c r="N47" s="24"/>
      <c r="O47" s="16"/>
    </row>
    <row r="48" spans="1:16" x14ac:dyDescent="0.7">
      <c r="A48" s="21" t="s">
        <v>57</v>
      </c>
      <c r="B48" s="22">
        <v>4500000</v>
      </c>
      <c r="C48" s="22">
        <v>-2439600</v>
      </c>
      <c r="D48" s="18">
        <f t="shared" si="2"/>
        <v>1342628</v>
      </c>
      <c r="E48" s="27">
        <v>0</v>
      </c>
      <c r="F48" s="3">
        <v>0</v>
      </c>
      <c r="G48" s="2">
        <v>0</v>
      </c>
      <c r="H48" s="2">
        <f>194464-E48-F48-G48</f>
        <v>194464</v>
      </c>
      <c r="I48" s="7">
        <f>194464-E48-F48-G48-H48</f>
        <v>0</v>
      </c>
      <c r="J48" s="2">
        <f>237447.99-E48-F48-G48-H48-I48</f>
        <v>42983.989999999991</v>
      </c>
      <c r="K48" s="23">
        <f>237447.99-E48-F48-G48-H48-I48-J48</f>
        <v>0</v>
      </c>
      <c r="L48" s="25">
        <f>401447.93-E48-F48-G48-H48-I48-J48-K48</f>
        <v>163999.94</v>
      </c>
      <c r="M48" s="7">
        <f>401447.93-E48-F48-G48-H48-I48-J48-K48-L48</f>
        <v>0</v>
      </c>
      <c r="N48" s="24">
        <f>415076.93-E48-F48-G48-H48-I48-J48-K48-L48-M48</f>
        <v>13629</v>
      </c>
      <c r="O48" s="25">
        <f>1342628-E48-F48-G48-H48-I48-J48-K48-L48-M48-N48</f>
        <v>927551.07000000007</v>
      </c>
      <c r="P48" s="26"/>
    </row>
    <row r="49" spans="1:16" x14ac:dyDescent="0.7">
      <c r="A49" s="21" t="s">
        <v>58</v>
      </c>
      <c r="B49" s="22">
        <v>0</v>
      </c>
      <c r="C49" s="22">
        <v>1266810</v>
      </c>
      <c r="D49" s="18">
        <f t="shared" si="2"/>
        <v>554039.25</v>
      </c>
      <c r="E49" s="27">
        <v>0</v>
      </c>
      <c r="F49" s="3">
        <v>0</v>
      </c>
      <c r="G49" s="28"/>
      <c r="H49" s="3">
        <v>0</v>
      </c>
      <c r="I49" s="37">
        <v>0</v>
      </c>
      <c r="J49" s="34">
        <f>454544.26-E49-F49-G49-H49-I49</f>
        <v>454544.26</v>
      </c>
      <c r="K49" s="50">
        <f>656850.48-E49-F49-G49-H49-I49-J49</f>
        <v>202306.21999999997</v>
      </c>
      <c r="L49" s="37">
        <f>554039.25-E49-F49-G49-H49-I49-J49-K49</f>
        <v>-102811.22999999998</v>
      </c>
      <c r="M49" s="7">
        <f>554039.25-E49-F49-G49-H49-I49-J49-K49-L49</f>
        <v>0</v>
      </c>
      <c r="N49" s="24">
        <f>554039.25-E49-F49-G49-H49-I49-J49-K49-L49-M49</f>
        <v>0</v>
      </c>
      <c r="O49" s="25">
        <f>554039.25-E49-F49-G49-H49-I49-J49-K49-L49-M49-N49</f>
        <v>0</v>
      </c>
      <c r="P49" s="34"/>
    </row>
    <row r="50" spans="1:16" ht="93" x14ac:dyDescent="0.7">
      <c r="A50" s="21" t="s">
        <v>59</v>
      </c>
      <c r="B50" s="22">
        <v>0</v>
      </c>
      <c r="C50" s="22"/>
      <c r="D50" s="18">
        <f t="shared" si="2"/>
        <v>28320</v>
      </c>
      <c r="E50" s="27">
        <v>0</v>
      </c>
      <c r="F50" s="3">
        <v>0</v>
      </c>
      <c r="G50" s="28">
        <v>0</v>
      </c>
      <c r="H50" s="3">
        <v>0</v>
      </c>
      <c r="I50" s="16">
        <v>0</v>
      </c>
      <c r="K50" s="31"/>
      <c r="L50" s="37">
        <v>0</v>
      </c>
      <c r="M50" s="7">
        <v>0</v>
      </c>
      <c r="N50" s="24">
        <f>28320-E50-F50-G50-H50-I50-J50-K50-L50-M50</f>
        <v>28320</v>
      </c>
      <c r="O50" s="25">
        <f>28320-E50-F50-G50-H50-I50-J50-K50-L50-M50-N50</f>
        <v>0</v>
      </c>
      <c r="P50" s="26"/>
    </row>
    <row r="51" spans="1:16" ht="93" x14ac:dyDescent="0.7">
      <c r="A51" s="21" t="s">
        <v>60</v>
      </c>
      <c r="B51" s="22">
        <v>1500000</v>
      </c>
      <c r="C51" s="22">
        <v>1637041.1</v>
      </c>
      <c r="D51" s="18">
        <f t="shared" si="2"/>
        <v>169507</v>
      </c>
      <c r="E51" s="27">
        <v>0</v>
      </c>
      <c r="F51" s="3">
        <v>0</v>
      </c>
      <c r="G51" s="28">
        <v>0</v>
      </c>
      <c r="H51" s="2">
        <f>0</f>
        <v>0</v>
      </c>
      <c r="I51" s="7">
        <v>0</v>
      </c>
      <c r="J51" s="2">
        <f>143488-E51-F51-G51-H51-I51</f>
        <v>143488</v>
      </c>
      <c r="K51" s="23"/>
      <c r="L51" s="25">
        <f>143488-E51-F51-G51-H51-I51-J51-K51</f>
        <v>0</v>
      </c>
      <c r="M51" s="7">
        <f>143488-E51-F51-G51-H51-I51-J51-K51-L51</f>
        <v>0</v>
      </c>
      <c r="N51" s="24">
        <f>169507-E51-F51-G51-H51-I51-J51-K51-L51-M51</f>
        <v>26019</v>
      </c>
      <c r="O51" s="25">
        <f>169507-E51-F51-G51-H51-I51-J51-K51-L51-M51-N51</f>
        <v>0</v>
      </c>
      <c r="P51" s="34"/>
    </row>
    <row r="52" spans="1:16" x14ac:dyDescent="0.7">
      <c r="A52" s="21" t="s">
        <v>61</v>
      </c>
      <c r="B52" s="22">
        <v>300000</v>
      </c>
      <c r="C52" s="22">
        <v>301557</v>
      </c>
      <c r="D52" s="18">
        <f t="shared" si="2"/>
        <v>189818.53</v>
      </c>
      <c r="E52" s="27">
        <v>0</v>
      </c>
      <c r="F52" s="3">
        <v>0</v>
      </c>
      <c r="G52" s="28">
        <v>0</v>
      </c>
      <c r="H52" s="2">
        <v>0</v>
      </c>
      <c r="I52" s="25">
        <v>0</v>
      </c>
      <c r="J52" s="2">
        <v>0</v>
      </c>
      <c r="K52" s="23">
        <v>0</v>
      </c>
      <c r="L52" s="25">
        <v>0</v>
      </c>
      <c r="M52" s="7"/>
      <c r="N52" s="24">
        <f>102811.3-E52-F52-G52-H52-I52-J52-K52-L52-M52</f>
        <v>102811.3</v>
      </c>
      <c r="O52" s="25">
        <f>189818.53-E52-F52-G52-H52-I52-J52-K52-L52-M52-N52</f>
        <v>87007.23</v>
      </c>
      <c r="P52" s="26"/>
    </row>
    <row r="53" spans="1:16" x14ac:dyDescent="0.7">
      <c r="A53" s="21" t="s">
        <v>62</v>
      </c>
      <c r="B53" s="22">
        <v>0</v>
      </c>
      <c r="C53" s="22"/>
      <c r="D53" s="18">
        <f t="shared" si="2"/>
        <v>0</v>
      </c>
      <c r="E53" s="27">
        <v>0</v>
      </c>
      <c r="F53" s="3">
        <v>0</v>
      </c>
      <c r="G53" s="3">
        <v>0</v>
      </c>
      <c r="H53" s="3">
        <v>0</v>
      </c>
      <c r="I53" s="16">
        <v>0</v>
      </c>
      <c r="K53" s="31"/>
      <c r="L53" s="16"/>
      <c r="M53" s="7">
        <v>0</v>
      </c>
      <c r="N53" s="24"/>
      <c r="O53" s="25"/>
      <c r="P53" s="34"/>
    </row>
    <row r="54" spans="1:16" x14ac:dyDescent="0.7">
      <c r="A54" s="21" t="s">
        <v>63</v>
      </c>
      <c r="B54" s="22">
        <v>0</v>
      </c>
      <c r="C54" s="22"/>
      <c r="D54" s="18">
        <f t="shared" si="2"/>
        <v>0</v>
      </c>
      <c r="E54" s="27">
        <v>0</v>
      </c>
      <c r="F54" s="3">
        <v>0</v>
      </c>
      <c r="G54" s="3">
        <v>0</v>
      </c>
      <c r="H54" s="3">
        <v>0</v>
      </c>
      <c r="I54" s="16">
        <v>0</v>
      </c>
      <c r="J54" s="3">
        <v>0</v>
      </c>
      <c r="K54" s="31"/>
      <c r="L54" s="16">
        <v>0</v>
      </c>
      <c r="M54" s="7"/>
      <c r="N54" s="24"/>
      <c r="O54" s="25"/>
    </row>
    <row r="55" spans="1:16" x14ac:dyDescent="0.7">
      <c r="A55" s="21" t="s">
        <v>64</v>
      </c>
      <c r="B55" s="22">
        <v>5000000</v>
      </c>
      <c r="C55" s="22">
        <v>-1100000</v>
      </c>
      <c r="D55" s="18">
        <f t="shared" si="2"/>
        <v>517249.99</v>
      </c>
      <c r="E55" s="27">
        <v>0</v>
      </c>
      <c r="F55" s="3">
        <v>0</v>
      </c>
      <c r="G55" s="3">
        <v>0</v>
      </c>
      <c r="H55" s="28">
        <v>0</v>
      </c>
      <c r="I55" s="37">
        <v>0</v>
      </c>
      <c r="K55" s="50">
        <f>23650--E55-F55-G55-H55-I55-J55</f>
        <v>23650</v>
      </c>
      <c r="L55" s="37">
        <f>23650-E55-F55-G55-H55-I55-J55-K55</f>
        <v>0</v>
      </c>
      <c r="M55" s="7">
        <f>517249.99-E55-F55-G55-H55-I55-J55-K55-L55</f>
        <v>493599.99</v>
      </c>
      <c r="N55" s="24">
        <f>517249.99-E55-F55-G55-H55-I55-J55-K55-L55-M55</f>
        <v>0</v>
      </c>
      <c r="O55" s="25">
        <f>517249.99-E55-F55-G55-H55-I55-J55-K55-L55-M55-N55</f>
        <v>0</v>
      </c>
      <c r="P55" s="26"/>
    </row>
    <row r="56" spans="1:16" ht="93" x14ac:dyDescent="0.7">
      <c r="A56" s="21" t="s">
        <v>65</v>
      </c>
      <c r="B56" s="22">
        <v>0</v>
      </c>
      <c r="C56" s="22">
        <v>0</v>
      </c>
      <c r="D56" s="18">
        <f t="shared" si="2"/>
        <v>0</v>
      </c>
      <c r="E56" s="27">
        <v>0</v>
      </c>
      <c r="F56" s="3">
        <v>0</v>
      </c>
      <c r="H56" s="3">
        <v>0</v>
      </c>
      <c r="I56" s="16">
        <v>0</v>
      </c>
      <c r="K56" s="31"/>
      <c r="L56" s="16"/>
      <c r="M56" s="7"/>
      <c r="N56" s="24"/>
      <c r="O56" s="25"/>
    </row>
    <row r="57" spans="1:16" x14ac:dyDescent="0.7">
      <c r="A57" s="13" t="s">
        <v>66</v>
      </c>
      <c r="B57" s="14">
        <f>SUM(B58:B61)</f>
        <v>0</v>
      </c>
      <c r="C57" s="14">
        <f>SUM(C58:C61)</f>
        <v>2690400</v>
      </c>
      <c r="D57" s="6">
        <f>SUM(D58:D61)</f>
        <v>2690400</v>
      </c>
      <c r="E57" s="30"/>
      <c r="K57" s="31"/>
      <c r="L57" s="16"/>
      <c r="M57" s="7"/>
      <c r="N57" s="24"/>
      <c r="O57" s="25"/>
    </row>
    <row r="58" spans="1:16" x14ac:dyDescent="0.7">
      <c r="A58" s="21" t="s">
        <v>67</v>
      </c>
      <c r="B58" s="22">
        <v>0</v>
      </c>
      <c r="C58" s="22">
        <v>2690400</v>
      </c>
      <c r="D58" s="7">
        <f t="shared" si="2"/>
        <v>2690400</v>
      </c>
      <c r="E58" s="27">
        <v>0</v>
      </c>
      <c r="F58" s="3">
        <v>0</v>
      </c>
      <c r="G58" s="28">
        <v>0</v>
      </c>
      <c r="H58" s="26">
        <v>0</v>
      </c>
      <c r="I58" s="25">
        <f>0</f>
        <v>0</v>
      </c>
      <c r="J58" s="26"/>
      <c r="K58" s="31">
        <v>0</v>
      </c>
      <c r="L58" s="29">
        <v>0</v>
      </c>
      <c r="M58" s="7">
        <v>0</v>
      </c>
      <c r="N58" s="24">
        <f>538080-E58-F58-G58-H58-I58-J58-K58-L58-M58</f>
        <v>538080</v>
      </c>
      <c r="O58" s="25">
        <f>2690400-E58-F58-G58-H58-I58-J58-K58-L58-M58-N58</f>
        <v>2152320</v>
      </c>
    </row>
    <row r="59" spans="1:16" x14ac:dyDescent="0.7">
      <c r="A59" s="21" t="s">
        <v>68</v>
      </c>
      <c r="B59" s="22"/>
      <c r="C59" s="22"/>
      <c r="D59" s="7">
        <f t="shared" si="2"/>
        <v>0</v>
      </c>
      <c r="E59" s="27">
        <v>0</v>
      </c>
      <c r="F59" s="3">
        <v>0</v>
      </c>
      <c r="G59" s="3">
        <v>0</v>
      </c>
      <c r="H59" s="3">
        <v>0</v>
      </c>
      <c r="I59" s="16">
        <v>0</v>
      </c>
      <c r="J59" s="3">
        <v>0</v>
      </c>
      <c r="K59" s="31"/>
      <c r="L59" s="16">
        <v>0</v>
      </c>
      <c r="M59" s="7"/>
      <c r="N59" s="24"/>
      <c r="O59" s="16"/>
    </row>
    <row r="60" spans="1:16" x14ac:dyDescent="0.7">
      <c r="A60" s="21" t="s">
        <v>69</v>
      </c>
      <c r="B60" s="22"/>
      <c r="C60" s="22"/>
      <c r="D60" s="7">
        <f t="shared" si="2"/>
        <v>0</v>
      </c>
      <c r="E60" s="27">
        <v>0</v>
      </c>
      <c r="F60" s="3">
        <v>0</v>
      </c>
      <c r="G60" s="3">
        <v>0</v>
      </c>
      <c r="H60" s="3">
        <v>0</v>
      </c>
      <c r="I60" s="16">
        <v>0</v>
      </c>
      <c r="K60" s="31"/>
      <c r="L60" s="16">
        <v>0</v>
      </c>
      <c r="M60" s="7"/>
      <c r="N60" s="24"/>
      <c r="O60" s="16"/>
    </row>
    <row r="61" spans="1:16" ht="93" x14ac:dyDescent="0.7">
      <c r="A61" s="21" t="s">
        <v>70</v>
      </c>
      <c r="B61" s="22"/>
      <c r="C61" s="22"/>
      <c r="D61" s="7">
        <f t="shared" si="2"/>
        <v>0</v>
      </c>
      <c r="E61" s="27">
        <v>0</v>
      </c>
      <c r="F61" s="3">
        <v>0</v>
      </c>
      <c r="G61" s="3">
        <v>0</v>
      </c>
      <c r="H61" s="3">
        <v>0</v>
      </c>
      <c r="I61" s="16">
        <v>0</v>
      </c>
      <c r="K61" s="31"/>
      <c r="L61" s="16">
        <v>0</v>
      </c>
      <c r="M61" s="7"/>
      <c r="N61" s="24"/>
      <c r="O61" s="16"/>
    </row>
    <row r="62" spans="1:16" ht="93" x14ac:dyDescent="0.7">
      <c r="A62" s="13" t="s">
        <v>71</v>
      </c>
      <c r="B62" s="14"/>
      <c r="C62" s="14"/>
      <c r="D62" s="6">
        <f>SUM(D63:D64)</f>
        <v>0</v>
      </c>
      <c r="E62" s="30"/>
      <c r="K62" s="31"/>
      <c r="L62" s="16">
        <v>0</v>
      </c>
      <c r="M62" s="7"/>
      <c r="N62" s="24"/>
      <c r="O62" s="16"/>
    </row>
    <row r="63" spans="1:16" x14ac:dyDescent="0.7">
      <c r="A63" s="21" t="s">
        <v>72</v>
      </c>
      <c r="B63" s="22"/>
      <c r="C63" s="22"/>
      <c r="E63" s="27"/>
      <c r="F63" s="3">
        <v>0</v>
      </c>
      <c r="G63" s="3">
        <v>0</v>
      </c>
      <c r="H63" s="3">
        <v>0</v>
      </c>
      <c r="I63" s="16">
        <v>0</v>
      </c>
      <c r="K63" s="31"/>
      <c r="L63" s="16"/>
      <c r="M63" s="7"/>
      <c r="N63" s="24"/>
      <c r="O63" s="16"/>
    </row>
    <row r="64" spans="1:16" ht="93" x14ac:dyDescent="0.7">
      <c r="A64" s="21" t="s">
        <v>73</v>
      </c>
      <c r="B64" s="22"/>
      <c r="C64" s="22"/>
      <c r="E64" s="27">
        <v>0</v>
      </c>
      <c r="F64" s="3">
        <v>0</v>
      </c>
      <c r="G64" s="3">
        <v>0</v>
      </c>
      <c r="H64" s="3">
        <v>0</v>
      </c>
      <c r="I64" s="16">
        <v>0</v>
      </c>
      <c r="K64" s="31"/>
      <c r="L64" s="16">
        <v>0</v>
      </c>
      <c r="M64" s="7"/>
      <c r="N64" s="24"/>
      <c r="O64" s="16"/>
    </row>
    <row r="65" spans="1:16" x14ac:dyDescent="0.7">
      <c r="A65" s="13" t="s">
        <v>74</v>
      </c>
      <c r="B65" s="14"/>
      <c r="C65" s="14"/>
      <c r="D65" s="6">
        <f>SUM(D66:D68)</f>
        <v>0</v>
      </c>
      <c r="E65" s="30"/>
      <c r="K65" s="31"/>
      <c r="L65" s="16">
        <v>0</v>
      </c>
      <c r="M65" s="7"/>
      <c r="N65" s="24"/>
      <c r="O65" s="16"/>
    </row>
    <row r="66" spans="1:16" x14ac:dyDescent="0.7">
      <c r="A66" s="21" t="s">
        <v>75</v>
      </c>
      <c r="B66" s="22"/>
      <c r="C66" s="22"/>
      <c r="E66" s="27">
        <v>0</v>
      </c>
      <c r="F66" s="3">
        <v>0</v>
      </c>
      <c r="G66" s="3">
        <v>0</v>
      </c>
      <c r="H66" s="3">
        <v>0</v>
      </c>
      <c r="I66" s="16">
        <v>0</v>
      </c>
      <c r="K66" s="31"/>
      <c r="L66" s="16"/>
      <c r="M66" s="7"/>
      <c r="N66" s="24"/>
      <c r="O66" s="16"/>
      <c r="P66" s="2"/>
    </row>
    <row r="67" spans="1:16" x14ac:dyDescent="0.7">
      <c r="A67" s="21" t="s">
        <v>76</v>
      </c>
      <c r="B67" s="22"/>
      <c r="C67" s="22"/>
      <c r="E67" s="27">
        <v>0</v>
      </c>
      <c r="F67" s="3">
        <v>0</v>
      </c>
      <c r="G67" s="3">
        <v>0</v>
      </c>
      <c r="H67" s="3">
        <v>0</v>
      </c>
      <c r="I67" s="16">
        <v>0</v>
      </c>
      <c r="K67" s="31"/>
      <c r="L67" s="16">
        <v>0</v>
      </c>
      <c r="M67" s="7"/>
      <c r="N67" s="24"/>
      <c r="O67" s="16"/>
    </row>
    <row r="68" spans="1:16" ht="93" x14ac:dyDescent="0.7">
      <c r="A68" s="21" t="s">
        <v>77</v>
      </c>
      <c r="B68" s="22"/>
      <c r="C68" s="22"/>
      <c r="E68" s="27">
        <v>0</v>
      </c>
      <c r="F68" s="3">
        <v>0</v>
      </c>
      <c r="G68" s="3">
        <v>0</v>
      </c>
      <c r="H68" s="3">
        <v>0</v>
      </c>
      <c r="I68" s="16">
        <v>0</v>
      </c>
      <c r="K68" s="31"/>
      <c r="L68" s="16">
        <v>0</v>
      </c>
      <c r="M68" s="7"/>
      <c r="N68" s="24"/>
      <c r="O68" s="16"/>
    </row>
    <row r="69" spans="1:16" s="16" customFormat="1" ht="61.5" x14ac:dyDescent="0.7">
      <c r="A69" s="91" t="s">
        <v>78</v>
      </c>
      <c r="B69" s="51">
        <f>B5+B11+B21+B47+B57</f>
        <v>306979786</v>
      </c>
      <c r="C69" s="51">
        <f>C5+C11+C21+C47+C57</f>
        <v>16952612.689999998</v>
      </c>
      <c r="D69" s="51">
        <f>D5+D11+D21+D47+D57</f>
        <v>262423670.27999997</v>
      </c>
      <c r="E69" s="52">
        <f t="shared" ref="E69:K69" si="3">SUM(E6:E68)</f>
        <v>16394367.659999998</v>
      </c>
      <c r="F69" s="52">
        <f t="shared" si="3"/>
        <v>17954520.050000001</v>
      </c>
      <c r="G69" s="53">
        <f t="shared" si="3"/>
        <v>19368409.949999999</v>
      </c>
      <c r="H69" s="53">
        <f t="shared" si="3"/>
        <v>20875201.289999999</v>
      </c>
      <c r="I69" s="53">
        <f t="shared" si="3"/>
        <v>18041468.489999998</v>
      </c>
      <c r="J69" s="53">
        <f t="shared" si="3"/>
        <v>21231734.899999995</v>
      </c>
      <c r="K69" s="53">
        <f t="shared" si="3"/>
        <v>20971691.729999989</v>
      </c>
      <c r="L69" s="53">
        <f t="shared" ref="L69:P69" si="4">SUM(L6:L68)</f>
        <v>26425021.400000002</v>
      </c>
      <c r="M69" s="55">
        <f t="shared" si="4"/>
        <v>23880262.869999997</v>
      </c>
      <c r="N69" s="56">
        <f t="shared" si="4"/>
        <v>34701792.239999995</v>
      </c>
      <c r="O69" s="55">
        <f t="shared" si="4"/>
        <v>42579199.700000003</v>
      </c>
      <c r="P69" s="53">
        <f t="shared" si="4"/>
        <v>0</v>
      </c>
    </row>
    <row r="70" spans="1:16" x14ac:dyDescent="0.7">
      <c r="A70" s="21"/>
      <c r="B70" s="21"/>
      <c r="C70" s="21"/>
      <c r="E70" s="27"/>
      <c r="K70" s="16"/>
      <c r="L70" s="16"/>
      <c r="M70" s="7"/>
      <c r="N70" s="24"/>
      <c r="O70" s="16"/>
    </row>
    <row r="71" spans="1:16" x14ac:dyDescent="0.7">
      <c r="A71" s="8" t="s">
        <v>79</v>
      </c>
      <c r="B71" s="8"/>
      <c r="C71" s="8"/>
      <c r="D71" s="57"/>
      <c r="E71" s="58"/>
      <c r="F71" s="58"/>
      <c r="G71" s="58"/>
      <c r="H71" s="58"/>
      <c r="I71" s="59"/>
      <c r="J71" s="58"/>
      <c r="K71" s="59"/>
      <c r="L71" s="59"/>
      <c r="M71" s="57"/>
      <c r="N71" s="60"/>
      <c r="O71" s="59"/>
      <c r="P71" s="58"/>
    </row>
    <row r="72" spans="1:16" x14ac:dyDescent="0.7">
      <c r="A72" s="13" t="s">
        <v>80</v>
      </c>
      <c r="B72" s="13"/>
      <c r="C72" s="13"/>
      <c r="D72" s="6">
        <f>D73+D74</f>
        <v>0</v>
      </c>
      <c r="E72" s="30"/>
      <c r="J72" s="26">
        <f>J73+J74</f>
        <v>0</v>
      </c>
      <c r="K72" s="25"/>
      <c r="L72" s="16"/>
      <c r="M72" s="7"/>
      <c r="N72" s="24"/>
      <c r="O72" s="16"/>
    </row>
    <row r="73" spans="1:16" x14ac:dyDescent="0.7">
      <c r="A73" s="21" t="s">
        <v>81</v>
      </c>
      <c r="B73" s="21"/>
      <c r="C73" s="21"/>
      <c r="E73" s="27">
        <v>0</v>
      </c>
      <c r="F73" s="27">
        <v>0</v>
      </c>
      <c r="H73" s="2">
        <v>0</v>
      </c>
      <c r="I73" s="16">
        <v>0</v>
      </c>
      <c r="K73" s="16"/>
      <c r="L73" s="25"/>
      <c r="M73" s="7"/>
      <c r="N73" s="24"/>
      <c r="O73" s="16"/>
    </row>
    <row r="74" spans="1:16" ht="93" x14ac:dyDescent="0.7">
      <c r="A74" s="21" t="s">
        <v>82</v>
      </c>
      <c r="B74" s="79">
        <f>B69-306979786</f>
        <v>0</v>
      </c>
      <c r="C74" s="21"/>
      <c r="E74" s="27">
        <v>0</v>
      </c>
      <c r="F74" s="27"/>
      <c r="H74" s="3">
        <v>0</v>
      </c>
      <c r="I74" s="16">
        <v>0</v>
      </c>
      <c r="J74" s="26"/>
      <c r="K74" s="16"/>
      <c r="L74" s="16"/>
      <c r="M74" s="7"/>
      <c r="N74" s="24"/>
      <c r="O74" s="16"/>
    </row>
    <row r="75" spans="1:16" x14ac:dyDescent="0.7">
      <c r="A75" s="13" t="s">
        <v>83</v>
      </c>
      <c r="B75" s="13"/>
      <c r="C75" s="13"/>
      <c r="D75" s="6">
        <f>D76+D77</f>
        <v>0</v>
      </c>
      <c r="E75" s="30"/>
      <c r="K75" s="16"/>
      <c r="L75" s="16"/>
      <c r="M75" s="7"/>
      <c r="N75" s="24"/>
      <c r="O75" s="16"/>
    </row>
    <row r="76" spans="1:16" x14ac:dyDescent="0.7">
      <c r="A76" s="21" t="s">
        <v>84</v>
      </c>
      <c r="B76" s="21"/>
      <c r="C76" s="21"/>
      <c r="D76" s="18">
        <f>SUM(E76:P76)</f>
        <v>0</v>
      </c>
      <c r="E76" s="27">
        <v>0</v>
      </c>
      <c r="F76" s="27">
        <v>0</v>
      </c>
      <c r="G76" s="26"/>
      <c r="H76" s="20">
        <v>0</v>
      </c>
      <c r="I76" s="25">
        <v>0</v>
      </c>
      <c r="J76" s="26"/>
      <c r="K76" s="25"/>
      <c r="L76" s="25"/>
      <c r="M76" s="7"/>
      <c r="N76" s="24"/>
      <c r="O76" s="25"/>
    </row>
    <row r="77" spans="1:16" x14ac:dyDescent="0.7">
      <c r="A77" s="21" t="s">
        <v>85</v>
      </c>
      <c r="B77" s="21"/>
      <c r="C77" s="21"/>
      <c r="E77" s="27">
        <v>0</v>
      </c>
      <c r="F77" s="27">
        <v>0</v>
      </c>
      <c r="H77" s="3">
        <v>0</v>
      </c>
      <c r="I77" s="16">
        <v>0</v>
      </c>
      <c r="K77" s="16"/>
      <c r="L77" s="16"/>
      <c r="M77" s="7"/>
      <c r="N77" s="24"/>
      <c r="O77" s="16"/>
    </row>
    <row r="78" spans="1:16" x14ac:dyDescent="0.7">
      <c r="A78" s="13" t="s">
        <v>86</v>
      </c>
      <c r="B78" s="13"/>
      <c r="C78" s="13"/>
      <c r="D78" s="6">
        <f>D79</f>
        <v>0</v>
      </c>
      <c r="E78" s="30"/>
      <c r="F78" s="2"/>
      <c r="K78" s="16"/>
      <c r="L78" s="16"/>
      <c r="M78" s="7"/>
      <c r="N78" s="24"/>
      <c r="O78" s="16"/>
    </row>
    <row r="79" spans="1:16" x14ac:dyDescent="0.7">
      <c r="A79" s="21" t="s">
        <v>87</v>
      </c>
      <c r="B79" s="21"/>
      <c r="C79" s="21"/>
      <c r="E79" s="27">
        <v>0</v>
      </c>
      <c r="F79" s="27">
        <v>0</v>
      </c>
      <c r="H79" s="3">
        <v>0</v>
      </c>
      <c r="I79" s="16">
        <v>0</v>
      </c>
      <c r="K79" s="16"/>
      <c r="L79" s="16"/>
      <c r="M79" s="7"/>
      <c r="N79" s="24"/>
      <c r="O79" s="16"/>
    </row>
    <row r="80" spans="1:16" s="16" customFormat="1" x14ac:dyDescent="0.7">
      <c r="A80" s="5" t="s">
        <v>88</v>
      </c>
      <c r="B80" s="5"/>
      <c r="C80" s="5"/>
      <c r="D80" s="61">
        <f>D72+D75+D78</f>
        <v>0</v>
      </c>
      <c r="E80" s="53"/>
      <c r="G80" s="53"/>
      <c r="H80" s="73">
        <f>SUM(H71:H79)</f>
        <v>0</v>
      </c>
      <c r="I80" s="52">
        <f>SUM(I71:I79)</f>
        <v>0</v>
      </c>
      <c r="J80" s="53"/>
      <c r="K80" s="53"/>
      <c r="L80" s="53"/>
      <c r="M80" s="55"/>
      <c r="N80" s="56"/>
      <c r="O80" s="53"/>
      <c r="P80" s="53"/>
    </row>
    <row r="81" spans="1:16" x14ac:dyDescent="0.7">
      <c r="A81" s="62"/>
      <c r="B81" s="62"/>
      <c r="C81" s="62"/>
      <c r="K81" s="16"/>
      <c r="L81" s="16"/>
      <c r="M81" s="7"/>
      <c r="N81" s="24"/>
      <c r="O81" s="16"/>
    </row>
    <row r="82" spans="1:16" s="16" customFormat="1" x14ac:dyDescent="0.7">
      <c r="A82" s="5" t="s">
        <v>89</v>
      </c>
      <c r="B82" s="80">
        <f>B69+B80</f>
        <v>306979786</v>
      </c>
      <c r="C82" s="80">
        <f>C69+C80</f>
        <v>16952612.689999998</v>
      </c>
      <c r="D82" s="78">
        <f t="shared" ref="D82:I82" si="5">SUM(D80,D69)</f>
        <v>262423670.27999997</v>
      </c>
      <c r="E82" s="64">
        <f t="shared" si="5"/>
        <v>16394367.659999998</v>
      </c>
      <c r="F82" s="64">
        <f t="shared" si="5"/>
        <v>17954520.050000001</v>
      </c>
      <c r="G82" s="65">
        <f t="shared" si="5"/>
        <v>19368409.949999999</v>
      </c>
      <c r="H82" s="65">
        <f t="shared" si="5"/>
        <v>20875201.289999999</v>
      </c>
      <c r="I82" s="65">
        <f t="shared" si="5"/>
        <v>18041468.489999998</v>
      </c>
      <c r="J82" s="54">
        <f t="shared" ref="J82:P82" si="6">SUM(J80,J69)</f>
        <v>21231734.899999995</v>
      </c>
      <c r="K82" s="54">
        <f t="shared" si="6"/>
        <v>20971691.729999989</v>
      </c>
      <c r="L82" s="54">
        <f t="shared" si="6"/>
        <v>26425021.400000002</v>
      </c>
      <c r="M82" s="63">
        <f t="shared" si="6"/>
        <v>23880262.869999997</v>
      </c>
      <c r="N82" s="66">
        <f t="shared" si="6"/>
        <v>34701792.239999995</v>
      </c>
      <c r="O82" s="63">
        <f t="shared" si="6"/>
        <v>42579199.700000003</v>
      </c>
      <c r="P82" s="54">
        <f t="shared" si="6"/>
        <v>0</v>
      </c>
    </row>
    <row r="83" spans="1:16" x14ac:dyDescent="0.7">
      <c r="K83" s="16"/>
      <c r="L83" s="16"/>
      <c r="M83" s="7"/>
      <c r="N83" s="24"/>
      <c r="O83" s="16"/>
    </row>
    <row r="84" spans="1:16" ht="48" x14ac:dyDescent="0.8">
      <c r="A84" s="94" t="s">
        <v>101</v>
      </c>
      <c r="D84" s="7">
        <f>D82-262423670.28</f>
        <v>0</v>
      </c>
      <c r="K84" s="16"/>
      <c r="L84" s="16"/>
      <c r="M84" s="7"/>
      <c r="N84" s="24"/>
      <c r="O84" s="16"/>
    </row>
    <row r="85" spans="1:16" ht="104.25" customHeight="1" x14ac:dyDescent="1.05">
      <c r="A85" s="92" t="s">
        <v>98</v>
      </c>
      <c r="B85" s="74"/>
      <c r="C85" s="74"/>
      <c r="D85" s="75"/>
      <c r="F85" s="2"/>
      <c r="G85" s="2"/>
      <c r="K85" s="16"/>
      <c r="L85" s="16"/>
      <c r="M85" s="7"/>
      <c r="N85" s="24"/>
      <c r="O85" s="16"/>
    </row>
    <row r="86" spans="1:16" x14ac:dyDescent="0.7">
      <c r="A86" s="76"/>
      <c r="B86" s="74"/>
      <c r="C86" s="74"/>
      <c r="D86" s="75"/>
      <c r="K86" s="16"/>
      <c r="L86" s="16"/>
      <c r="M86" s="7"/>
      <c r="N86" s="24"/>
      <c r="O86" s="16"/>
    </row>
    <row r="87" spans="1:16" ht="127.5" customHeight="1" x14ac:dyDescent="1.05">
      <c r="A87" s="93" t="s">
        <v>99</v>
      </c>
      <c r="B87" s="93"/>
      <c r="C87" s="93"/>
      <c r="D87" s="93"/>
      <c r="G87" s="2"/>
      <c r="K87" s="16"/>
      <c r="L87" s="16"/>
      <c r="M87" s="7"/>
      <c r="N87" s="24"/>
      <c r="O87" s="16"/>
    </row>
    <row r="88" spans="1:16" x14ac:dyDescent="0.7">
      <c r="A88" s="96"/>
      <c r="B88" s="96"/>
      <c r="C88" s="96"/>
      <c r="D88" s="96"/>
      <c r="K88" s="16"/>
      <c r="L88" s="16"/>
      <c r="M88" s="7"/>
      <c r="N88" s="24"/>
      <c r="O88" s="16"/>
    </row>
    <row r="89" spans="1:16" ht="248.25" customHeight="1" x14ac:dyDescent="0.7">
      <c r="A89" s="97" t="s">
        <v>100</v>
      </c>
      <c r="B89" s="97"/>
      <c r="C89" s="97"/>
      <c r="D89" s="97"/>
      <c r="K89" s="16"/>
      <c r="L89" s="16"/>
      <c r="M89" s="7"/>
      <c r="N89" s="24"/>
      <c r="O89" s="16"/>
    </row>
    <row r="90" spans="1:16" ht="121.5" customHeight="1" x14ac:dyDescent="0.7">
      <c r="A90" s="77"/>
      <c r="B90" s="77"/>
      <c r="C90" s="77"/>
      <c r="D90" s="77"/>
      <c r="K90" s="16"/>
      <c r="L90" s="16"/>
      <c r="M90" s="7"/>
      <c r="N90" s="24"/>
      <c r="O90" s="16"/>
    </row>
    <row r="91" spans="1:16" x14ac:dyDescent="0.7">
      <c r="K91" s="16"/>
      <c r="L91" s="16"/>
      <c r="M91" s="7"/>
      <c r="N91" s="24"/>
      <c r="O91" s="16"/>
    </row>
    <row r="92" spans="1:16" ht="93" customHeight="1" x14ac:dyDescent="0.9">
      <c r="A92" s="98"/>
      <c r="B92" s="98"/>
      <c r="C92" s="98"/>
      <c r="D92" s="98"/>
      <c r="E92" s="98"/>
      <c r="F92" s="98"/>
      <c r="G92" s="98"/>
      <c r="K92" s="16"/>
      <c r="L92" s="16"/>
      <c r="M92" s="7"/>
      <c r="N92" s="24"/>
      <c r="O92" s="16"/>
    </row>
    <row r="93" spans="1:16" x14ac:dyDescent="0.7">
      <c r="D93" s="6"/>
      <c r="E93" s="4"/>
      <c r="K93" s="16"/>
      <c r="L93" s="16"/>
      <c r="M93" s="7"/>
      <c r="N93" s="24"/>
      <c r="O93" s="16"/>
    </row>
    <row r="94" spans="1:16" x14ac:dyDescent="0.7">
      <c r="A94" s="99" t="s">
        <v>96</v>
      </c>
      <c r="B94" s="99"/>
      <c r="C94" s="99"/>
      <c r="D94" s="99"/>
      <c r="E94" s="99"/>
      <c r="F94" s="99"/>
      <c r="G94" s="99"/>
      <c r="K94" s="16"/>
      <c r="L94" s="16"/>
      <c r="M94" s="7"/>
      <c r="N94" s="24"/>
      <c r="O94" s="16"/>
    </row>
    <row r="95" spans="1:16" x14ac:dyDescent="0.7">
      <c r="A95" s="99" t="s">
        <v>97</v>
      </c>
      <c r="B95" s="99"/>
      <c r="C95" s="99"/>
      <c r="D95" s="99"/>
      <c r="E95" s="99"/>
      <c r="F95" s="99"/>
      <c r="G95" s="99"/>
      <c r="K95" s="16"/>
      <c r="L95" s="16"/>
      <c r="M95" s="7"/>
      <c r="N95" s="24"/>
      <c r="O95" s="16"/>
    </row>
    <row r="96" spans="1:16" x14ac:dyDescent="0.7">
      <c r="K96" s="16"/>
      <c r="L96" s="16"/>
      <c r="M96" s="7"/>
      <c r="N96" s="24"/>
      <c r="O96" s="16"/>
    </row>
    <row r="97" spans="4:15" x14ac:dyDescent="0.7">
      <c r="K97" s="16"/>
      <c r="L97" s="16"/>
      <c r="M97" s="7"/>
      <c r="N97" s="24"/>
      <c r="O97" s="16"/>
    </row>
    <row r="107" spans="4:15" x14ac:dyDescent="0.7">
      <c r="D107" s="6" t="s">
        <v>90</v>
      </c>
      <c r="E107" s="4"/>
      <c r="J107" s="26"/>
    </row>
    <row r="108" spans="4:15" x14ac:dyDescent="0.7">
      <c r="D108" s="6"/>
      <c r="E108" s="4"/>
      <c r="J108" s="26"/>
    </row>
    <row r="109" spans="4:15" x14ac:dyDescent="0.7">
      <c r="D109" s="6" t="s">
        <v>93</v>
      </c>
      <c r="E109" s="4"/>
    </row>
    <row r="110" spans="4:15" x14ac:dyDescent="0.7">
      <c r="D110" s="6" t="s">
        <v>91</v>
      </c>
      <c r="E110" s="4"/>
    </row>
    <row r="112" spans="4:15" x14ac:dyDescent="0.7">
      <c r="J112" s="26">
        <f>D82-81234027.92</f>
        <v>181189642.35999995</v>
      </c>
    </row>
    <row r="113" spans="1:14" x14ac:dyDescent="0.7">
      <c r="D113" s="7">
        <f>D82-158182464.6</f>
        <v>104241205.67999998</v>
      </c>
      <c r="E113" s="2">
        <f>D82-158036473.82</f>
        <v>104387196.45999998</v>
      </c>
      <c r="N113" s="71">
        <f>N82-17012173.68</f>
        <v>17689618.559999995</v>
      </c>
    </row>
    <row r="114" spans="1:14" x14ac:dyDescent="0.7">
      <c r="A114" s="72"/>
      <c r="B114" s="72"/>
      <c r="C114" s="72"/>
    </row>
    <row r="115" spans="1:14" x14ac:dyDescent="0.7">
      <c r="D115" s="7">
        <f>D82-175255388.5</f>
        <v>87168281.779999971</v>
      </c>
      <c r="G115" s="2">
        <f>D82-175255388.5</f>
        <v>87168281.779999971</v>
      </c>
    </row>
    <row r="117" spans="1:14" x14ac:dyDescent="0.7">
      <c r="D117" s="7">
        <f>D82-205409195.41</f>
        <v>57014474.869999975</v>
      </c>
    </row>
    <row r="118" spans="1:14" x14ac:dyDescent="0.7">
      <c r="H118" s="2">
        <f>D82-175255388.5</f>
        <v>87168281.779999971</v>
      </c>
    </row>
    <row r="120" spans="1:14" x14ac:dyDescent="0.7">
      <c r="E120" s="26">
        <f>122442431.78-D82</f>
        <v>-139981238.49999997</v>
      </c>
    </row>
  </sheetData>
  <mergeCells count="5">
    <mergeCell ref="A88:D88"/>
    <mergeCell ref="A89:D89"/>
    <mergeCell ref="A92:G92"/>
    <mergeCell ref="A94:G94"/>
    <mergeCell ref="A95:G95"/>
  </mergeCells>
  <pageMargins left="0" right="0" top="1.3385826771653544" bottom="0.55118110236220474" header="0.31496062992125984" footer="0.31496062992125984"/>
  <pageSetup paperSize="5" scale="14" orientation="landscape" r:id="rId1"/>
  <headerFooter>
    <oddHeader>&amp;C&amp;"-,Negrita"&amp;48
INSTITUTO DE DESARROLLO Y CREDITO COOPERATIVO(IDECOOP)
DIRECCION FINANCIERA
EJECUCION PRESUPUESTARIA 2022</oddHeader>
    <oddFooter>&amp;L&amp;8&amp;F&amp;C&amp;8Pág. &amp;P de &amp;N&amp;R&amp;8&amp;D-&amp;T</oddFooter>
  </headerFooter>
  <rowBreaks count="2" manualBreakCount="2">
    <brk id="36" max="14" man="1"/>
    <brk id="6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2021</vt:lpstr>
      <vt:lpstr>'Ejec. Presup. Acumulada 2021'!Área_de_impresión</vt:lpstr>
      <vt:lpstr>'Ejec. Presup. Acumulada 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2022-11-28T17:07:25Z</cp:lastPrinted>
  <dcterms:created xsi:type="dcterms:W3CDTF">2017-12-09T22:11:36Z</dcterms:created>
  <dcterms:modified xsi:type="dcterms:W3CDTF">2022-12-09T16:59:39Z</dcterms:modified>
</cp:coreProperties>
</file>