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2023'!$A$1:$N$98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62" i="1"/>
  <c r="N61" i="1"/>
  <c r="N55" i="1"/>
  <c r="N53" i="1"/>
  <c r="N51" i="1"/>
  <c r="N33" i="1"/>
  <c r="N31" i="1"/>
  <c r="N30" i="1"/>
  <c r="N29" i="1"/>
  <c r="N27" i="1"/>
  <c r="N26" i="1"/>
  <c r="N25" i="1"/>
  <c r="N23" i="1"/>
  <c r="N22" i="1"/>
  <c r="N21" i="1"/>
  <c r="N20" i="1"/>
  <c r="N19" i="1"/>
  <c r="N17" i="1"/>
  <c r="N16" i="1"/>
  <c r="N15" i="1"/>
  <c r="N13" i="1"/>
  <c r="N11" i="1"/>
  <c r="N10" i="1"/>
  <c r="N9" i="1"/>
  <c r="N8" i="1" l="1"/>
  <c r="M31" i="1"/>
  <c r="M34" i="1"/>
  <c r="K57" i="1" l="1"/>
  <c r="G60" i="1" l="1"/>
  <c r="G42" i="1"/>
  <c r="H42" i="1"/>
  <c r="I42" i="1"/>
  <c r="J42" i="1"/>
  <c r="G34" i="1"/>
  <c r="H34" i="1"/>
  <c r="I34" i="1"/>
  <c r="J34" i="1"/>
  <c r="I62" i="1" l="1"/>
  <c r="I53" i="1"/>
  <c r="K53" i="1" l="1"/>
  <c r="J53" i="1"/>
  <c r="L53" i="1" s="1"/>
  <c r="M53" i="1" s="1"/>
  <c r="H62" i="1"/>
  <c r="H61" i="1"/>
  <c r="H29" i="1"/>
  <c r="H19" i="1"/>
  <c r="H16" i="1"/>
  <c r="I16" i="1" l="1"/>
  <c r="H60" i="1"/>
  <c r="I61" i="1"/>
  <c r="I60" i="1" s="1"/>
  <c r="J19" i="1"/>
  <c r="I19" i="1"/>
  <c r="J62" i="1"/>
  <c r="K62" i="1" s="1"/>
  <c r="L62" i="1" s="1"/>
  <c r="J29" i="1"/>
  <c r="K19" i="1" l="1"/>
  <c r="J61" i="1"/>
  <c r="J60" i="1" s="1"/>
  <c r="J16" i="1"/>
  <c r="K16" i="1" s="1"/>
  <c r="K29" i="1"/>
  <c r="M29" i="1" s="1"/>
  <c r="K61" i="1"/>
  <c r="G25" i="1"/>
  <c r="G55" i="1"/>
  <c r="G54" i="1"/>
  <c r="G21" i="1"/>
  <c r="G18" i="1"/>
  <c r="G81" i="1"/>
  <c r="G78" i="1"/>
  <c r="G83" i="1" s="1"/>
  <c r="G75" i="1"/>
  <c r="G68" i="1"/>
  <c r="G65" i="1"/>
  <c r="I55" i="1" l="1"/>
  <c r="H25" i="1"/>
  <c r="L16" i="1"/>
  <c r="M16" i="1" s="1"/>
  <c r="H54" i="1"/>
  <c r="L54" i="1" s="1"/>
  <c r="L19" i="1"/>
  <c r="M19" i="1" s="1"/>
  <c r="I18" i="1"/>
  <c r="J18" i="1" s="1"/>
  <c r="H18" i="1"/>
  <c r="H21" i="1"/>
  <c r="K55" i="1" l="1"/>
  <c r="L55" i="1" s="1"/>
  <c r="I21" i="1"/>
  <c r="K18" i="1"/>
  <c r="L18" i="1" s="1"/>
  <c r="I25" i="1"/>
  <c r="J25" i="1"/>
  <c r="F31" i="1"/>
  <c r="F81" i="1"/>
  <c r="F78" i="1"/>
  <c r="F75" i="1"/>
  <c r="F83" i="1" s="1"/>
  <c r="F65" i="1"/>
  <c r="F60" i="1"/>
  <c r="F42" i="1"/>
  <c r="F34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H10" i="1" l="1"/>
  <c r="G10" i="1"/>
  <c r="G26" i="1"/>
  <c r="H51" i="1"/>
  <c r="H50" i="1" s="1"/>
  <c r="G51" i="1"/>
  <c r="G50" i="1" s="1"/>
  <c r="I11" i="1"/>
  <c r="J11" i="1" s="1"/>
  <c r="K11" i="1" s="1"/>
  <c r="H20" i="1"/>
  <c r="G20" i="1"/>
  <c r="H27" i="1"/>
  <c r="G27" i="1"/>
  <c r="I27" i="1" s="1"/>
  <c r="J27" i="1" s="1"/>
  <c r="F8" i="1"/>
  <c r="F50" i="1"/>
  <c r="M18" i="1"/>
  <c r="H17" i="1"/>
  <c r="G17" i="1"/>
  <c r="F24" i="1"/>
  <c r="H31" i="1"/>
  <c r="G31" i="1"/>
  <c r="G13" i="1"/>
  <c r="H22" i="1"/>
  <c r="G22" i="1"/>
  <c r="H30" i="1"/>
  <c r="J30" i="1" s="1"/>
  <c r="K30" i="1" s="1"/>
  <c r="F14" i="1"/>
  <c r="G9" i="1"/>
  <c r="G8" i="1" s="1"/>
  <c r="H15" i="1"/>
  <c r="G15" i="1"/>
  <c r="G23" i="1"/>
  <c r="G33" i="1"/>
  <c r="K25" i="1"/>
  <c r="D25" i="1" s="1"/>
  <c r="L25" i="1"/>
  <c r="M25" i="1" s="1"/>
  <c r="J21" i="1"/>
  <c r="K21" i="1" s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H33" i="1" l="1"/>
  <c r="J33" i="1" s="1"/>
  <c r="G14" i="1"/>
  <c r="H9" i="1"/>
  <c r="L30" i="1"/>
  <c r="M30" i="1" s="1"/>
  <c r="I22" i="1"/>
  <c r="K27" i="1"/>
  <c r="M27" i="1" s="1"/>
  <c r="I20" i="1"/>
  <c r="J20" i="1" s="1"/>
  <c r="L11" i="1"/>
  <c r="I51" i="1"/>
  <c r="I50" i="1" s="1"/>
  <c r="I33" i="1"/>
  <c r="M11" i="1"/>
  <c r="G24" i="1"/>
  <c r="L21" i="1"/>
  <c r="D21" i="1" s="1"/>
  <c r="M21" i="1"/>
  <c r="H23" i="1"/>
  <c r="I15" i="1"/>
  <c r="H13" i="1"/>
  <c r="I31" i="1"/>
  <c r="J31" i="1" s="1"/>
  <c r="I17" i="1"/>
  <c r="J17" i="1" s="1"/>
  <c r="H26" i="1"/>
  <c r="I10" i="1"/>
  <c r="J10" i="1" s="1"/>
  <c r="E83" i="1"/>
  <c r="D55" i="1"/>
  <c r="D56" i="1"/>
  <c r="D57" i="1"/>
  <c r="D59" i="1"/>
  <c r="D53" i="1"/>
  <c r="D44" i="1"/>
  <c r="K20" i="1" l="1"/>
  <c r="J51" i="1"/>
  <c r="J50" i="1" s="1"/>
  <c r="H8" i="1"/>
  <c r="I9" i="1"/>
  <c r="K17" i="1"/>
  <c r="J22" i="1"/>
  <c r="J15" i="1"/>
  <c r="K10" i="1"/>
  <c r="M10" i="1" s="1"/>
  <c r="K31" i="1"/>
  <c r="K33" i="1"/>
  <c r="L33" i="1" s="1"/>
  <c r="H24" i="1"/>
  <c r="I26" i="1"/>
  <c r="I13" i="1"/>
  <c r="I23" i="1"/>
  <c r="H14" i="1"/>
  <c r="H72" i="1" s="1"/>
  <c r="J23" i="1"/>
  <c r="L20" i="1"/>
  <c r="M20" i="1" s="1"/>
  <c r="L10" i="1"/>
  <c r="D58" i="1"/>
  <c r="L22" i="1" l="1"/>
  <c r="I24" i="1"/>
  <c r="J26" i="1"/>
  <c r="J24" i="1" s="1"/>
  <c r="K26" i="1"/>
  <c r="J14" i="1"/>
  <c r="K15" i="1"/>
  <c r="L15" i="1" s="1"/>
  <c r="M15" i="1"/>
  <c r="L17" i="1"/>
  <c r="M17" i="1" s="1"/>
  <c r="J13" i="1"/>
  <c r="L23" i="1"/>
  <c r="M23" i="1" s="1"/>
  <c r="K23" i="1"/>
  <c r="L31" i="1"/>
  <c r="I14" i="1"/>
  <c r="I8" i="1"/>
  <c r="J9" i="1"/>
  <c r="K51" i="1"/>
  <c r="K22" i="1"/>
  <c r="M22" i="1" s="1"/>
  <c r="D54" i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E72" i="1"/>
  <c r="E85" i="1" s="1"/>
  <c r="H83" i="1"/>
  <c r="H85" i="1" s="1"/>
  <c r="L13" i="1" l="1"/>
  <c r="K13" i="1"/>
  <c r="M13" i="1" s="1"/>
  <c r="L51" i="1"/>
  <c r="M51" i="1" s="1"/>
  <c r="L26" i="1"/>
  <c r="M26" i="1" s="1"/>
  <c r="D26" i="1" s="1"/>
  <c r="J8" i="1"/>
  <c r="K9" i="1"/>
  <c r="K8" i="1" s="1"/>
  <c r="C72" i="1"/>
  <c r="D34" i="1"/>
  <c r="D83" i="1"/>
  <c r="B72" i="1"/>
  <c r="F72" i="1"/>
  <c r="F85" i="1" s="1"/>
  <c r="D42" i="1"/>
  <c r="L9" i="1" l="1"/>
  <c r="L8" i="1" s="1"/>
  <c r="C85" i="1"/>
  <c r="B85" i="1"/>
  <c r="M9" i="1" l="1"/>
  <c r="M8" i="1" s="1"/>
  <c r="D18" i="1"/>
  <c r="D14" i="1" s="1"/>
  <c r="D33" i="1"/>
  <c r="D51" i="1"/>
  <c r="D50" i="1" s="1"/>
  <c r="D23" i="1"/>
  <c r="D13" i="1" l="1"/>
  <c r="D27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31" i="1"/>
  <c r="D24" i="1" s="1"/>
  <c r="N72" i="1" l="1"/>
  <c r="N85" i="1" s="1"/>
  <c r="N116" i="1" s="1"/>
  <c r="D10" i="1"/>
  <c r="O72" i="1"/>
  <c r="O85" i="1" s="1"/>
  <c r="P72" i="1" l="1"/>
  <c r="P85" i="1" s="1"/>
  <c r="G72" i="1" l="1"/>
  <c r="G85" i="1" s="1"/>
  <c r="D9" i="1"/>
  <c r="D8" i="1" s="1"/>
  <c r="L61" i="1"/>
  <c r="L72" i="1" s="1"/>
  <c r="L85" i="1" s="1"/>
  <c r="M72" i="1"/>
  <c r="M85" i="1" s="1"/>
  <c r="D61" i="1" l="1"/>
  <c r="D60" i="1" s="1"/>
  <c r="D72" i="1" s="1"/>
  <c r="C75" i="1" l="1"/>
  <c r="I72" i="1"/>
  <c r="I85" i="1" s="1"/>
  <c r="D85" i="1"/>
  <c r="E116" i="1" l="1"/>
  <c r="E123" i="1"/>
  <c r="J115" i="1"/>
  <c r="D116" i="1"/>
  <c r="D120" i="1"/>
  <c r="D118" i="1"/>
  <c r="G118" i="1"/>
  <c r="H121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<sst xmlns="http://schemas.openxmlformats.org/spreadsheetml/2006/main" count="102" uniqueCount="101">
  <si>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</si>
  <si>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</si>
  <si>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</si>
  <si>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</si>
  <si>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</si>
  <si>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</si>
  <si>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</si>
  <si>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</si>
  <si>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</si>
  <si>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</si>
  <si>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</si>
  <si>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</si>
  <si>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</si>
  <si>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</si>
  <si>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</si>
  <si>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</si>
  <si>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</si>
  <si>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</si>
  <si>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</si>
  <si>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</si>
  <si>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</si>
  <si>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</si>
  <si>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</si>
  <si>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</si>
  <si>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</si>
  <si>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</si>
  <si>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</si>
  <si>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</si>
  <si>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</si>
  <si>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</si>
  <si>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</si>
  <si>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</si>
  <si>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</si>
  <si>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</si>
  <si>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</si>
  <si>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</si>
  <si>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</si>
  <si>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</si>
  <si>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</si>
  <si>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</si>
  <si>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</si>
  <si>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</si>
  <si>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</si>
  <si>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</si>
  <si>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</si>
  <si>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</si>
  <si>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</si>
  <si>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</si>
  <si>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</si>
  <si>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</si>
  <si>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</si>
  <si>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</si>
  <si>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</si>
  <si>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</si>
  <si>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</si>
  <si>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</si>
  <si>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</si>
  <si>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</si>
  <si>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</si>
  <si>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</si>
  <si>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</si>
  <si>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</si>
  <si>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</si>
  <si>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</si>
  <si>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</si>
  <si>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</si>
  <si>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</si>
  <si>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</si>
  <si>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</si>
  <si>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</si>
  <si>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</si>
  <si>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</si>
  <si>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</si>
  <si>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</si>
  <si>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</si>
  <si>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</si>
  <si>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</si>
  <si>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</si>
  <si>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</si>
  <si>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</si>
  <si>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</si>
  <si>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</si>
  <si>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</si>
  <si>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</si>
  <si>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</si>
  <si>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</si>
  <si>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</si>
  <si>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</si>
  <si>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</si>
  <si>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</si>
  <si>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</si>
  <si>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</si>
  <si>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</si>
  <si>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</si>
  <si>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</si>
  <si>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</si>
  <si>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</si>
  <si>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</si>
  <si>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>PresupuestoAprobado: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</si>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</sst>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1" applyFont="1" applyAlignment="1">
      <alignment horizontal="left" vertical="center" wrapText="1"/>
    </xf>
    <xf numFmtId="4" fontId="5" fillId="3" borderId="0" xfId="1" applyNumberFormat="1" applyFont="1" applyFill="1"/>
    <xf numFmtId="164" fontId="5" fillId="3" borderId="0" xfId="1" applyFont="1" applyFill="1"/>
    <xf numFmtId="164" fontId="3" fillId="3" borderId="0" xfId="1" applyFont="1" applyFill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4" fontId="3" fillId="3" borderId="0" xfId="1" applyNumberFormat="1" applyFont="1" applyFill="1"/>
    <xf numFmtId="4" fontId="3" fillId="0" borderId="0" xfId="0" applyNumberFormat="1" applyFont="1"/>
    <xf numFmtId="164" fontId="3" fillId="3" borderId="0" xfId="1" applyFont="1" applyFill="1" applyBorder="1"/>
    <xf numFmtId="4" fontId="4" fillId="3" borderId="0" xfId="1" applyNumberFormat="1" applyFont="1" applyFill="1"/>
    <xf numFmtId="4" fontId="4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4" fontId="3" fillId="0" borderId="0" xfId="1" applyFont="1" applyAlignment="1">
      <alignment vertical="center" wrapText="1"/>
    </xf>
    <xf numFmtId="43" fontId="3" fillId="0" borderId="0" xfId="0" applyNumberFormat="1" applyFont="1"/>
    <xf numFmtId="43" fontId="3" fillId="3" borderId="0" xfId="0" applyNumberFormat="1" applyFont="1" applyFill="1"/>
    <xf numFmtId="43" fontId="5" fillId="3" borderId="0" xfId="0" applyNumberFormat="1" applyFont="1" applyFill="1" applyBorder="1"/>
    <xf numFmtId="0" fontId="5" fillId="3" borderId="0" xfId="0" applyFont="1" applyFill="1"/>
    <xf numFmtId="4" fontId="5" fillId="3" borderId="0" xfId="0" applyNumberFormat="1" applyFont="1" applyFill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164" fontId="4" fillId="3" borderId="0" xfId="1" applyFont="1" applyFill="1" applyBorder="1"/>
    <xf numFmtId="43" fontId="3" fillId="3" borderId="0" xfId="0" applyNumberFormat="1" applyFont="1" applyFill="1" applyBorder="1"/>
    <xf numFmtId="0" fontId="5" fillId="3" borderId="0" xfId="0" applyFont="1" applyFill="1" applyBorder="1"/>
    <xf numFmtId="3" fontId="3" fillId="3" borderId="0" xfId="0" applyNumberFormat="1" applyFont="1" applyFill="1"/>
    <xf numFmtId="165" fontId="3" fillId="0" borderId="0" xfId="0" applyNumberFormat="1" applyFont="1"/>
    <xf numFmtId="165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164" fontId="3" fillId="0" borderId="0" xfId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4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0" fontId="3" fillId="3" borderId="0" xfId="0" applyFont="1" applyFill="1" applyBorder="1"/>
    <xf numFmtId="0" fontId="5" fillId="2" borderId="2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164" fontId="5" fillId="2" borderId="2" xfId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165" fontId="5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43" fontId="5" fillId="0" borderId="0" xfId="0" applyNumberFormat="1" applyFont="1" applyAlignment="1">
      <alignment horizontal="left" vertical="center" wrapText="1"/>
    </xf>
    <xf numFmtId="43" fontId="3" fillId="0" borderId="0" xfId="0" applyNumberFormat="1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64" fontId="5" fillId="2" borderId="2" xfId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5" fillId="0" borderId="0" xfId="0" applyNumberFormat="1" applyFont="1" applyAlignment="1">
      <alignment wrapText="1"/>
    </xf>
    <xf numFmtId="4" fontId="5" fillId="2" borderId="0" xfId="0" applyNumberFormat="1" applyFont="1" applyFill="1" applyBorder="1" applyAlignment="1">
      <alignment horizontal="right" vertical="center" wrapText="1"/>
    </xf>
    <xf numFmtId="43" fontId="5" fillId="2" borderId="0" xfId="0" applyNumberFormat="1" applyFont="1" applyFill="1" applyBorder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3" fontId="8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2169025</xdr:colOff>
      <xdr:row>1</xdr:row>
      <xdr:rowOff>300790</xdr:rowOff>
    </xdr:from>
    <xdr:to>
      <xdr:col>7</xdr:col>
      <xdr:colOff>2754515</xdr:colOff>
      <xdr:row>4</xdr:row>
      <xdr:rowOff>819873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46262" y="1453816"/>
          <a:ext cx="8305753" cy="4006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view="pageBreakPreview" topLeftCell="A75" zoomScale="10" zoomScaleNormal="32" zoomScaleSheetLayoutView="10" workbookViewId="0">
      <selection activeCell="C87" sqref="C87"/>
    </sheetView>
  </sheetViews>
  <sheetFormatPr baseColWidth="10" defaultColWidth="9.140625" defaultRowHeight="92.25" x14ac:dyDescent="1.35"/>
  <cols>
    <col min="1" max="1" width="255.85546875" style="2" customWidth="1"/>
    <col min="2" max="2" width="104.42578125" style="2" customWidth="1"/>
    <col min="3" max="3" width="108.140625" style="2" customWidth="1"/>
    <col min="4" max="4" width="103.42578125" style="3" customWidth="1"/>
    <col min="5" max="5" width="105.140625" style="4" customWidth="1"/>
    <col min="6" max="6" width="99" style="5" customWidth="1"/>
    <col min="7" max="7" width="116.140625" style="5" customWidth="1"/>
    <col min="8" max="8" width="101.42578125" style="4" customWidth="1"/>
    <col min="9" max="9" width="107.5703125" style="6" customWidth="1"/>
    <col min="10" max="10" width="119.85546875" style="4" customWidth="1"/>
    <col min="11" max="11" width="103.5703125" style="100" customWidth="1"/>
    <col min="12" max="12" width="107.28515625" style="100" customWidth="1"/>
    <col min="13" max="13" width="116.28515625" style="101" customWidth="1"/>
    <col min="14" max="14" width="105.7109375" style="7" customWidth="1"/>
    <col min="15" max="15" width="83.42578125" style="8" customWidth="1"/>
    <col min="16" max="16" width="88.140625" style="4" customWidth="1"/>
    <col min="17" max="17" width="12" style="4" customWidth="1"/>
    <col min="18" max="16384" width="9.140625" style="4"/>
  </cols>
  <sheetData>
    <row r="1" spans="1:16" x14ac:dyDescent="1.35">
      <c r="K1" s="6"/>
      <c r="L1" s="6"/>
      <c r="M1" s="3"/>
    </row>
    <row r="2" spans="1:16" x14ac:dyDescent="1.35">
      <c r="K2" s="6"/>
      <c r="L2" s="6"/>
      <c r="M2" s="3"/>
    </row>
    <row r="3" spans="1:16" x14ac:dyDescent="1.35">
      <c r="K3" s="6"/>
      <c r="L3" s="6"/>
      <c r="M3" s="3"/>
    </row>
    <row r="4" spans="1:16" x14ac:dyDescent="1.35">
      <c r="B4" s="4"/>
      <c r="K4" s="6"/>
      <c r="L4" s="6"/>
      <c r="M4" s="3"/>
    </row>
    <row r="5" spans="1:16" ht="93" thickBot="1" x14ac:dyDescent="1.4">
      <c r="K5" s="6"/>
      <c r="L5" s="6"/>
      <c r="M5" s="3"/>
    </row>
    <row r="6" spans="1:16" s="6" customFormat="1" ht="185.25" thickBot="1" x14ac:dyDescent="1.4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13" t="s">
        <v>3</v>
      </c>
      <c r="G6" s="13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4" t="s">
        <v>10</v>
      </c>
      <c r="N6" s="15" t="s">
        <v>11</v>
      </c>
      <c r="O6" s="16" t="s">
        <v>12</v>
      </c>
      <c r="P6" s="9" t="s">
        <v>13</v>
      </c>
    </row>
    <row r="7" spans="1:16" x14ac:dyDescent="1.35">
      <c r="A7" s="17" t="s">
        <v>14</v>
      </c>
      <c r="B7" s="17"/>
      <c r="C7" s="17"/>
      <c r="D7" s="18"/>
      <c r="E7" s="19"/>
      <c r="F7" s="19"/>
      <c r="G7" s="19"/>
      <c r="H7" s="19"/>
      <c r="I7" s="20"/>
      <c r="J7" s="19"/>
      <c r="K7" s="20"/>
      <c r="L7" s="20"/>
      <c r="M7" s="18"/>
      <c r="N7" s="21"/>
      <c r="O7" s="20"/>
      <c r="P7" s="19"/>
    </row>
    <row r="8" spans="1:16" ht="184.5" x14ac:dyDescent="1.35">
      <c r="A8" s="22" t="s">
        <v>15</v>
      </c>
      <c r="B8" s="23">
        <f t="shared" ref="B8:N8" si="0">SUM(B9:B13)</f>
        <v>230366928</v>
      </c>
      <c r="C8" s="23">
        <f t="shared" si="0"/>
        <v>13491646</v>
      </c>
      <c r="D8" s="24">
        <f t="shared" si="0"/>
        <v>170715285.86000001</v>
      </c>
      <c r="E8" s="24">
        <f t="shared" si="0"/>
        <v>16307764.189999999</v>
      </c>
      <c r="F8" s="24">
        <f t="shared" si="0"/>
        <v>16746385.329999998</v>
      </c>
      <c r="G8" s="25">
        <f t="shared" si="0"/>
        <v>16832196.120000005</v>
      </c>
      <c r="H8" s="25">
        <f t="shared" si="0"/>
        <v>16720023.669999998</v>
      </c>
      <c r="I8" s="25">
        <f t="shared" si="0"/>
        <v>16800882.599999987</v>
      </c>
      <c r="J8" s="25">
        <f t="shared" si="0"/>
        <v>16289405.580000006</v>
      </c>
      <c r="K8" s="25">
        <f t="shared" si="0"/>
        <v>16515106.990000002</v>
      </c>
      <c r="L8" s="25">
        <f t="shared" si="0"/>
        <v>17625578.159999985</v>
      </c>
      <c r="M8" s="25">
        <f t="shared" si="0"/>
        <v>17664464.489999991</v>
      </c>
      <c r="N8" s="25">
        <f t="shared" si="0"/>
        <v>19213478.730000023</v>
      </c>
      <c r="O8" s="26"/>
      <c r="P8" s="5"/>
    </row>
    <row r="9" spans="1:16" x14ac:dyDescent="1.35">
      <c r="A9" s="27" t="s">
        <v>16</v>
      </c>
      <c r="B9" s="28">
        <v>184811600</v>
      </c>
      <c r="C9" s="28">
        <v>11387640</v>
      </c>
      <c r="D9" s="29">
        <f>SUM(E9:P9)</f>
        <v>145577169.47</v>
      </c>
      <c r="E9" s="30">
        <v>13879801.699999999</v>
      </c>
      <c r="F9" s="5">
        <f>28135503.4-E9</f>
        <v>14255701.699999999</v>
      </c>
      <c r="G9" s="5">
        <f>42526754.03-E9-F9</f>
        <v>14391250.630000003</v>
      </c>
      <c r="H9" s="30">
        <f>56789295.84-E9-F9-G9</f>
        <v>14262541.809999999</v>
      </c>
      <c r="I9" s="3">
        <f>71135145.35-E9-F9-G9-H9</f>
        <v>14345849.509999987</v>
      </c>
      <c r="J9" s="30">
        <f>85016693.39-E9-F9-G9-H9-I9</f>
        <v>13881548.040000007</v>
      </c>
      <c r="K9" s="31">
        <f>99131598.36-E9-F9-G9-H9-I9-J9</f>
        <v>14114904.970000003</v>
      </c>
      <c r="L9" s="26">
        <f>114134991.07-E9-F9-G9-H9-I9-J9-K9</f>
        <v>15003392.70999999</v>
      </c>
      <c r="M9" s="29">
        <f>129196017.77-E9-F9-G9-H9-I9-J9-K9-L9</f>
        <v>15061026.699999988</v>
      </c>
      <c r="N9" s="32">
        <f>145577169.47-E9-F9-G9-H9-I9-J9-K9-L9-M9</f>
        <v>16381151.700000022</v>
      </c>
      <c r="O9" s="26"/>
      <c r="P9" s="5"/>
    </row>
    <row r="10" spans="1:16" x14ac:dyDescent="1.35">
      <c r="A10" s="27" t="s">
        <v>17</v>
      </c>
      <c r="B10" s="28">
        <v>20140288</v>
      </c>
      <c r="C10" s="28">
        <v>-739994</v>
      </c>
      <c r="D10" s="29">
        <f>SUM(E10:P10)</f>
        <v>3173245</v>
      </c>
      <c r="E10" s="30">
        <v>314024.5</v>
      </c>
      <c r="F10" s="5">
        <f>633049-E10</f>
        <v>319024.5</v>
      </c>
      <c r="G10" s="5">
        <f>952073.5-E10-F10</f>
        <v>319024.5</v>
      </c>
      <c r="H10" s="30">
        <f>1271098-E10-F10-G10</f>
        <v>319024.5</v>
      </c>
      <c r="I10" s="3">
        <f>1590122.5-E10-F10-G10-H10</f>
        <v>319024.5</v>
      </c>
      <c r="J10" s="30">
        <f>1909147-E10-F10-G10-H10-I10</f>
        <v>319024.5</v>
      </c>
      <c r="K10" s="31">
        <f>2228171.5-E10-F10-G10-H10-I10-J10</f>
        <v>319024.5</v>
      </c>
      <c r="L10" s="3">
        <f>2547196-E10-F10-G10-H10-I10-J10-K10</f>
        <v>319024.5</v>
      </c>
      <c r="M10" s="3">
        <f>2854220.5-E10-F10-G10-H10-I10-J10-K10-L10</f>
        <v>307024.5</v>
      </c>
      <c r="N10" s="33">
        <f>3173245-E10-F10-G10-H10-I10-J10-K10-L10-M10</f>
        <v>319024.5</v>
      </c>
      <c r="O10" s="34"/>
      <c r="P10" s="35"/>
    </row>
    <row r="11" spans="1:16" ht="184.5" x14ac:dyDescent="1.35">
      <c r="A11" s="27" t="s">
        <v>18</v>
      </c>
      <c r="B11" s="28">
        <v>300000</v>
      </c>
      <c r="C11" s="28">
        <v>250000</v>
      </c>
      <c r="D11" s="29">
        <f>SUM(E11:P11)</f>
        <v>48388.22</v>
      </c>
      <c r="E11" s="36">
        <v>0</v>
      </c>
      <c r="F11" s="37">
        <f>0-E11</f>
        <v>0</v>
      </c>
      <c r="G11" s="5">
        <v>0</v>
      </c>
      <c r="H11" s="30"/>
      <c r="I11" s="30">
        <f>15324.32-E11-F11-G11-H11</f>
        <v>15324.32</v>
      </c>
      <c r="J11" s="30">
        <f>15324.32-E11-F11-G11-H11-I11</f>
        <v>0</v>
      </c>
      <c r="K11" s="3">
        <f>15324.32-E11-F11-G11-H11-I11-J11</f>
        <v>0</v>
      </c>
      <c r="L11" s="34">
        <f>33141.44-E11-F11-G11-H11-I11-J11-K11</f>
        <v>17817.120000000003</v>
      </c>
      <c r="M11" s="3">
        <f>33141.44-E11-F11-G11-H11-I11-J11-K11-L11</f>
        <v>0</v>
      </c>
      <c r="N11" s="33">
        <f>48388.22-E11-F11-G11-H11-I11-J11-K11-L11-M11</f>
        <v>15246.779999999999</v>
      </c>
      <c r="O11" s="34"/>
      <c r="P11" s="35"/>
    </row>
    <row r="12" spans="1:16" ht="184.5" x14ac:dyDescent="1.35">
      <c r="A12" s="27" t="s">
        <v>19</v>
      </c>
      <c r="B12" s="28"/>
      <c r="C12" s="28"/>
      <c r="D12" s="29">
        <v>0</v>
      </c>
      <c r="E12" s="36">
        <v>0</v>
      </c>
      <c r="F12" s="37">
        <v>0</v>
      </c>
      <c r="G12" s="5">
        <v>0</v>
      </c>
      <c r="H12" s="38">
        <v>0</v>
      </c>
      <c r="I12" s="6">
        <v>0</v>
      </c>
      <c r="J12" s="30"/>
      <c r="K12" s="31"/>
      <c r="L12" s="6">
        <v>0</v>
      </c>
      <c r="M12" s="3">
        <v>0</v>
      </c>
      <c r="N12" s="33"/>
      <c r="O12" s="39"/>
    </row>
    <row r="13" spans="1:16" ht="184.5" x14ac:dyDescent="1.35">
      <c r="A13" s="27" t="s">
        <v>20</v>
      </c>
      <c r="B13" s="28">
        <v>25115040</v>
      </c>
      <c r="C13" s="28">
        <v>2594000</v>
      </c>
      <c r="D13" s="29">
        <f>SUM(E13:P13)</f>
        <v>21916483.170000002</v>
      </c>
      <c r="E13" s="30">
        <v>2113937.9900000002</v>
      </c>
      <c r="F13" s="5">
        <f>4285597.12-E13</f>
        <v>2171659.13</v>
      </c>
      <c r="G13" s="5">
        <f>6407518.11-E13-F13</f>
        <v>2121920.9900000002</v>
      </c>
      <c r="H13" s="30">
        <f>8545975.47-E13-F13-G13</f>
        <v>2138457.3600000003</v>
      </c>
      <c r="I13" s="3">
        <f>10666659.74-E13-F13-G13-H13</f>
        <v>2120684.2699999996</v>
      </c>
      <c r="J13" s="30">
        <f>12755492.78-E13-F13-G13-H13-I13</f>
        <v>2088833.04</v>
      </c>
      <c r="K13" s="31">
        <f>14836670.3-E13-F13-G13-H13-I13-J13</f>
        <v>2081177.5199999996</v>
      </c>
      <c r="L13" s="34">
        <f>17122014.13-E13-F13-G13-H13-I13-J13-K13</f>
        <v>2285343.8299999973</v>
      </c>
      <c r="M13" s="3">
        <f>19418427.42-E13-F13-G13-H13-I13-J13-K13-L13</f>
        <v>2296413.2900000028</v>
      </c>
      <c r="N13" s="33">
        <f>21916483.17-E13-F13-G13-H13-I13-J13-K13-L13-M13</f>
        <v>2498055.7500000009</v>
      </c>
      <c r="O13" s="34"/>
      <c r="P13" s="35"/>
    </row>
    <row r="14" spans="1:16" ht="184.5" x14ac:dyDescent="1.35">
      <c r="A14" s="22" t="s">
        <v>21</v>
      </c>
      <c r="B14" s="23">
        <f t="shared" ref="B14:J14" si="1">SUM(B15:B23)</f>
        <v>52257070</v>
      </c>
      <c r="C14" s="23">
        <f t="shared" si="1"/>
        <v>13912089.67</v>
      </c>
      <c r="D14" s="24">
        <f>SUM(D15:D23)</f>
        <v>38449631.539999999</v>
      </c>
      <c r="E14" s="24">
        <f t="shared" si="1"/>
        <v>0</v>
      </c>
      <c r="F14" s="24">
        <f t="shared" si="1"/>
        <v>6063093.5600000005</v>
      </c>
      <c r="G14" s="25">
        <f t="shared" si="1"/>
        <v>1673451.6199999999</v>
      </c>
      <c r="H14" s="25">
        <f t="shared" si="1"/>
        <v>4807672.2300000004</v>
      </c>
      <c r="I14" s="25">
        <f t="shared" si="1"/>
        <v>4468687.67</v>
      </c>
      <c r="J14" s="25">
        <f t="shared" si="1"/>
        <v>5058871.5999999987</v>
      </c>
      <c r="K14" s="40">
        <f>C14-15570199.67</f>
        <v>-1658110</v>
      </c>
      <c r="L14" s="41"/>
      <c r="M14" s="42"/>
      <c r="N14" s="33"/>
      <c r="O14" s="34"/>
    </row>
    <row r="15" spans="1:16" x14ac:dyDescent="1.35">
      <c r="A15" s="27" t="s">
        <v>22</v>
      </c>
      <c r="B15" s="28">
        <v>13638396</v>
      </c>
      <c r="C15" s="28">
        <v>-2498000</v>
      </c>
      <c r="D15" s="29">
        <f>SUM(E15:P15)</f>
        <v>9121143.9199999999</v>
      </c>
      <c r="E15" s="43">
        <v>0</v>
      </c>
      <c r="F15" s="5">
        <f>1562151.56-E15</f>
        <v>1562151.56</v>
      </c>
      <c r="G15" s="5">
        <f>2689417.8-E15-F15</f>
        <v>1127266.2399999998</v>
      </c>
      <c r="H15" s="30">
        <f>3576618.62-E15-F15-G15</f>
        <v>887200.8200000003</v>
      </c>
      <c r="I15" s="3">
        <f>4463705.69-E15-F15-G15-H15</f>
        <v>887087.0700000003</v>
      </c>
      <c r="J15" s="30">
        <f>5339586.14-E15-F15-G15-H15-I15</f>
        <v>875880.44999999925</v>
      </c>
      <c r="K15" s="31">
        <f>6272614.06-E15-F15-G15-H15-I15-J15</f>
        <v>933027.92000000039</v>
      </c>
      <c r="L15" s="34">
        <f>7240703.69-E15-F15-G15-H15-I15-J15-K15</f>
        <v>968089.63000000035</v>
      </c>
      <c r="M15" s="3">
        <f>8201147.66-E15-F15-G15-H15-I15-J15-K15-L15</f>
        <v>960443.96999999881</v>
      </c>
      <c r="N15" s="33">
        <f>9121143.92-E15-F15-G15-H15-I15-J15-K15-L15-M15</f>
        <v>919996.25999999978</v>
      </c>
      <c r="O15" s="34"/>
      <c r="P15" s="35"/>
    </row>
    <row r="16" spans="1:16" ht="184.5" x14ac:dyDescent="1.35">
      <c r="A16" s="27" t="s">
        <v>23</v>
      </c>
      <c r="B16" s="28">
        <v>400000</v>
      </c>
      <c r="C16" s="28">
        <v>791939.5</v>
      </c>
      <c r="D16" s="29">
        <f t="shared" ref="D16:D23" si="2">SUM(E16:P16)</f>
        <v>906017.47</v>
      </c>
      <c r="E16" s="36">
        <v>0</v>
      </c>
      <c r="F16" s="37">
        <v>0</v>
      </c>
      <c r="G16" s="5">
        <v>0</v>
      </c>
      <c r="H16" s="35">
        <f>99999.96-E16-F16-G16</f>
        <v>99999.96</v>
      </c>
      <c r="I16" s="34">
        <f>302959.96-E16-F16-G16-H16</f>
        <v>202960</v>
      </c>
      <c r="J16" s="35">
        <f>686017.46-E16-F16-G16-H16-I16</f>
        <v>383057.5</v>
      </c>
      <c r="K16" s="44">
        <f>686017.46-E16-F16-G16-H16-I16-J16</f>
        <v>0</v>
      </c>
      <c r="L16" s="39">
        <f>706017.46-E16-F16-G16-H16-I16-J16-K16</f>
        <v>20000</v>
      </c>
      <c r="M16" s="3">
        <f>906017.47-E16-F16-G16-H16-I16-J16-K16-L16</f>
        <v>200000.01</v>
      </c>
      <c r="N16" s="33">
        <f>906017.47-E16-F16-G16-H16-I16-J16-K16-L16-M16</f>
        <v>0</v>
      </c>
      <c r="O16" s="26"/>
      <c r="P16" s="38"/>
    </row>
    <row r="17" spans="1:16" x14ac:dyDescent="1.35">
      <c r="A17" s="27" t="s">
        <v>24</v>
      </c>
      <c r="B17" s="28">
        <v>8662246</v>
      </c>
      <c r="C17" s="28">
        <v>-3085000</v>
      </c>
      <c r="D17" s="29">
        <f t="shared" si="2"/>
        <v>4794247.5</v>
      </c>
      <c r="E17" s="36">
        <v>0</v>
      </c>
      <c r="F17" s="37">
        <f>269090-E17</f>
        <v>269090</v>
      </c>
      <c r="G17" s="5">
        <f>806667.5-E17-F17</f>
        <v>537577.5</v>
      </c>
      <c r="H17" s="30">
        <f>1527667.5-E17-F17-G17</f>
        <v>721000</v>
      </c>
      <c r="I17" s="3">
        <f>2463617.5-E17-F17-G17-H17</f>
        <v>935950</v>
      </c>
      <c r="J17" s="30">
        <f>2715317.5-E17-F17-G17-H17-I17</f>
        <v>251700</v>
      </c>
      <c r="K17" s="45">
        <f>3156052.5-E17-F17-G17-H17-I17-J17</f>
        <v>440735</v>
      </c>
      <c r="L17" s="34">
        <f>3449352.5-E17-F17-G17-H17-I17-J17-K17</f>
        <v>293300</v>
      </c>
      <c r="M17" s="3">
        <f>4426547.5-E17-F17-G17-H17-I17-J17-K17-L17</f>
        <v>977195</v>
      </c>
      <c r="N17" s="33">
        <f>4794247.5-E17-F17-G17-H17-I17-J17-K17-L17-M17</f>
        <v>367700</v>
      </c>
      <c r="O17" s="34"/>
      <c r="P17" s="35"/>
    </row>
    <row r="18" spans="1:16" ht="184.5" x14ac:dyDescent="1.35">
      <c r="A18" s="27" t="s">
        <v>25</v>
      </c>
      <c r="B18" s="28">
        <v>5641000</v>
      </c>
      <c r="C18" s="28">
        <v>-4230000</v>
      </c>
      <c r="D18" s="29">
        <f t="shared" si="2"/>
        <v>498729</v>
      </c>
      <c r="E18" s="36">
        <v>0</v>
      </c>
      <c r="F18" s="37">
        <v>0</v>
      </c>
      <c r="G18" s="5">
        <f>21600-E18-F18</f>
        <v>21600</v>
      </c>
      <c r="H18" s="30">
        <f>36000-E18-F18-G18</f>
        <v>14400</v>
      </c>
      <c r="I18" s="3">
        <f>113000-E18-F18-G18-H18</f>
        <v>77000</v>
      </c>
      <c r="J18" s="30">
        <f>193600-E18-F18-G18-H18-I18</f>
        <v>80600</v>
      </c>
      <c r="K18" s="31">
        <f>239200-E18-F18-G18-H18-I18-J18</f>
        <v>45600</v>
      </c>
      <c r="L18" s="34">
        <f>294400-E18-F18-G18-H18-I18-J18-K18</f>
        <v>55200</v>
      </c>
      <c r="M18" s="3">
        <f>498729-E18-F18-G18-H18-I18-J18-K18-L18</f>
        <v>204329</v>
      </c>
      <c r="N18" s="33">
        <f>498729-E18-F18-G18-H18-I18-J18-K18-L18-M18</f>
        <v>0</v>
      </c>
      <c r="O18" s="34"/>
      <c r="P18" s="38"/>
    </row>
    <row r="19" spans="1:16" x14ac:dyDescent="1.35">
      <c r="A19" s="27" t="s">
        <v>26</v>
      </c>
      <c r="B19" s="28">
        <v>4362708</v>
      </c>
      <c r="C19" s="28">
        <v>703940</v>
      </c>
      <c r="D19" s="29">
        <f t="shared" si="2"/>
        <v>2890066.1900000004</v>
      </c>
      <c r="E19" s="43">
        <v>0</v>
      </c>
      <c r="F19" s="37">
        <v>0</v>
      </c>
      <c r="G19" s="5">
        <v>0</v>
      </c>
      <c r="H19" s="30">
        <f>408858.73-E19-F19-G19</f>
        <v>408858.73</v>
      </c>
      <c r="I19" s="3">
        <f>686486.53-E19-F19-G19-H19</f>
        <v>277627.80000000005</v>
      </c>
      <c r="J19" s="30">
        <f>1215067.46-E19-F19-G19-H19-I19</f>
        <v>528580.92999999993</v>
      </c>
      <c r="K19" s="46">
        <f>1936517.78-E19-F19-G19-H19-I19-J19</f>
        <v>721450.32000000007</v>
      </c>
      <c r="L19" s="34">
        <f>1781008.55-E19-F19-G19-H19-I19-J19-K19</f>
        <v>-155509.22999999998</v>
      </c>
      <c r="M19" s="3">
        <f>2862530.91-E19-F19-G19-H19-I19-J19-K19-L19</f>
        <v>1081522.3599999999</v>
      </c>
      <c r="N19" s="33">
        <f>2890066.19-E19-F19-G19-H19-I19-J19-K19-L19-M19</f>
        <v>27535.280000000261</v>
      </c>
      <c r="O19" s="34"/>
      <c r="P19" s="35"/>
    </row>
    <row r="20" spans="1:16" x14ac:dyDescent="1.35">
      <c r="A20" s="27" t="s">
        <v>27</v>
      </c>
      <c r="B20" s="28">
        <v>2017378</v>
      </c>
      <c r="C20" s="28">
        <v>284000</v>
      </c>
      <c r="D20" s="29">
        <f t="shared" si="2"/>
        <v>1856313.56</v>
      </c>
      <c r="E20" s="43">
        <v>0</v>
      </c>
      <c r="F20" s="5">
        <f>209082.62-E20</f>
        <v>209082.62</v>
      </c>
      <c r="G20" s="5">
        <f>642919.89-E20-F20</f>
        <v>433837.27</v>
      </c>
      <c r="H20" s="30">
        <f>744934.36-E20-F20-G20</f>
        <v>102014.46999999997</v>
      </c>
      <c r="I20" s="3">
        <f>864549.97-E20-F20-G20-H20</f>
        <v>119615.60999999999</v>
      </c>
      <c r="J20" s="30">
        <f>976667.98-F20-G20-H20-I20</f>
        <v>112118.01000000001</v>
      </c>
      <c r="K20" s="31">
        <f>1086828.91-E20-F20-G20-H20-I20-J20</f>
        <v>110160.92999999993</v>
      </c>
      <c r="L20" s="34">
        <f>1196989.84-E20-F20-G20-H20-I20-J20-K20</f>
        <v>110160.93000000017</v>
      </c>
      <c r="M20" s="3">
        <f>1380854.03-E20-F20-G20-H20-I20-J20-K20-L20</f>
        <v>183864.19000000006</v>
      </c>
      <c r="N20" s="33">
        <f>1856313.56-E20-F20-G20-H20-I20-J20-K20-L20-M20</f>
        <v>475459.5299999998</v>
      </c>
      <c r="O20" s="34"/>
      <c r="P20" s="35"/>
    </row>
    <row r="21" spans="1:16" ht="369" x14ac:dyDescent="1.35">
      <c r="A21" s="27" t="s">
        <v>28</v>
      </c>
      <c r="B21" s="28">
        <v>5471374</v>
      </c>
      <c r="C21" s="28">
        <v>9041913.6699999999</v>
      </c>
      <c r="D21" s="29">
        <f>SUM(E21:P21)</f>
        <v>6573147.0499999998</v>
      </c>
      <c r="E21" s="36">
        <v>0</v>
      </c>
      <c r="F21" s="37">
        <v>0</v>
      </c>
      <c r="G21" s="5">
        <f>378780-E21-F21</f>
        <v>378780</v>
      </c>
      <c r="H21" s="30">
        <f>553128.88-E21-F21-G21</f>
        <v>174348.88</v>
      </c>
      <c r="I21" s="3">
        <f>553128.88-E21-F21-G21-H21</f>
        <v>0</v>
      </c>
      <c r="J21" s="30">
        <f>553128.88-E21-F21-G21-H21-I21</f>
        <v>0</v>
      </c>
      <c r="K21" s="31">
        <f>1188128.89-E21-F21-G21-H21-I21-J21</f>
        <v>635000.00999999989</v>
      </c>
      <c r="L21" s="34">
        <f>6213802.12-E21-F21-G21-H21-I21-J21-K21</f>
        <v>5025673.2300000004</v>
      </c>
      <c r="M21" s="3">
        <f>6551966.52-E21-F21-G21-H21-I21-J21-K21-L21</f>
        <v>338164.39999999944</v>
      </c>
      <c r="N21" s="33">
        <f>6573147.05-E21-F21-G21-H21-I21-J21-K21-L21-M21</f>
        <v>21180.530000000261</v>
      </c>
      <c r="O21" s="34"/>
      <c r="P21" s="35"/>
    </row>
    <row r="22" spans="1:16" ht="276.75" x14ac:dyDescent="1.35">
      <c r="A22" s="27" t="s">
        <v>29</v>
      </c>
      <c r="B22" s="28">
        <v>3415803</v>
      </c>
      <c r="C22" s="28">
        <v>9297196.5</v>
      </c>
      <c r="D22" s="29">
        <f t="shared" si="2"/>
        <v>7206738.5599999996</v>
      </c>
      <c r="E22" s="36">
        <v>0</v>
      </c>
      <c r="F22" s="37">
        <f>2182469.38-E22</f>
        <v>2182469.38</v>
      </c>
      <c r="G22" s="5">
        <f>1356859.99-E22-F22</f>
        <v>-825609.3899999999</v>
      </c>
      <c r="H22" s="30">
        <f>3560829.36-E22-F22-G22</f>
        <v>2203969.37</v>
      </c>
      <c r="I22" s="3">
        <f>5333278.55-E22-F22-G22-H22</f>
        <v>1772449.1899999995</v>
      </c>
      <c r="J22" s="30">
        <f>6510278.55-E22-F22-G22-H22-I22</f>
        <v>1177000</v>
      </c>
      <c r="K22" s="31">
        <f>6810278.56-E22-F22-G22-H22-I22-J22</f>
        <v>300000.00999999978</v>
      </c>
      <c r="L22" s="34">
        <f>6810278.56-E22-F22-G22-H22-I22-J22-K22</f>
        <v>0</v>
      </c>
      <c r="M22" s="3">
        <f>7206738.56-E22-F22-G22-H22-I22-J22-K22-L22</f>
        <v>396460</v>
      </c>
      <c r="N22" s="33">
        <f>7206738.56-E22-F22-G22-H22-I22-J22-K22-L22-M22</f>
        <v>0</v>
      </c>
      <c r="O22" s="34"/>
      <c r="P22" s="35"/>
    </row>
    <row r="23" spans="1:16" ht="184.5" x14ac:dyDescent="1.35">
      <c r="A23" s="27" t="s">
        <v>92</v>
      </c>
      <c r="B23" s="28">
        <v>8648165</v>
      </c>
      <c r="C23" s="28">
        <v>3606100</v>
      </c>
      <c r="D23" s="29">
        <f t="shared" si="2"/>
        <v>4603228.29</v>
      </c>
      <c r="E23" s="36">
        <v>0</v>
      </c>
      <c r="F23" s="37">
        <f>1840300-E23</f>
        <v>1840300</v>
      </c>
      <c r="G23" s="5">
        <f>1840300-E23-F23</f>
        <v>0</v>
      </c>
      <c r="H23" s="30">
        <f>2036180-E23-F23-G23</f>
        <v>195880</v>
      </c>
      <c r="I23" s="34">
        <f>2232178-E23-F23-G23-H23</f>
        <v>195998</v>
      </c>
      <c r="J23" s="35">
        <f>3882112.71-E23-F23-G23-H23-I23</f>
        <v>1649934.71</v>
      </c>
      <c r="K23" s="44">
        <f>4055994.73-E23-F23-G23-H23-I23-J23</f>
        <v>173882.02000000002</v>
      </c>
      <c r="L23" s="34">
        <f>4225967.83-E23-F23-G23-H23-I23-J23-K23</f>
        <v>169973.10000000009</v>
      </c>
      <c r="M23" s="3">
        <f>4418227.89-E23-F23-G23-H23-I23-J23-K23-L23</f>
        <v>192260.05999999959</v>
      </c>
      <c r="N23" s="33">
        <f>4603228.29-E23-F23-G23-H23-I23-J23-K23-L23-M23</f>
        <v>185000.40000000037</v>
      </c>
      <c r="O23" s="34"/>
      <c r="P23" s="35"/>
    </row>
    <row r="24" spans="1:16" x14ac:dyDescent="1.35">
      <c r="A24" s="22" t="s">
        <v>30</v>
      </c>
      <c r="B24" s="23">
        <f t="shared" ref="B24:J24" si="3">SUM(B25:B33)</f>
        <v>21455788</v>
      </c>
      <c r="C24" s="23">
        <f t="shared" si="3"/>
        <v>22600.14000000013</v>
      </c>
      <c r="D24" s="24">
        <f t="shared" si="3"/>
        <v>14635978.300000001</v>
      </c>
      <c r="E24" s="24">
        <f t="shared" si="3"/>
        <v>0</v>
      </c>
      <c r="F24" s="24">
        <f t="shared" si="3"/>
        <v>2496752.46</v>
      </c>
      <c r="G24" s="25">
        <f t="shared" si="3"/>
        <v>546464.99</v>
      </c>
      <c r="H24" s="25">
        <f t="shared" si="3"/>
        <v>1825761.41</v>
      </c>
      <c r="I24" s="25">
        <f t="shared" si="3"/>
        <v>1057108.7000000007</v>
      </c>
      <c r="J24" s="25">
        <f t="shared" si="3"/>
        <v>2554153.9099999992</v>
      </c>
      <c r="K24" s="47"/>
      <c r="L24" s="41"/>
      <c r="M24" s="42"/>
      <c r="N24" s="33"/>
      <c r="O24" s="6"/>
    </row>
    <row r="25" spans="1:16" ht="184.5" x14ac:dyDescent="1.35">
      <c r="A25" s="27" t="s">
        <v>31</v>
      </c>
      <c r="B25" s="28">
        <v>900000</v>
      </c>
      <c r="C25" s="28">
        <v>-100000</v>
      </c>
      <c r="D25" s="29">
        <f>SUM(E25:P25)</f>
        <v>260316.29</v>
      </c>
      <c r="E25" s="36">
        <v>0</v>
      </c>
      <c r="F25" s="5">
        <v>0</v>
      </c>
      <c r="G25" s="5">
        <f>0-E25-F25</f>
        <v>0</v>
      </c>
      <c r="H25" s="30">
        <f>0-E25-F25-G25</f>
        <v>0</v>
      </c>
      <c r="I25" s="3">
        <f>0-E25-F25-G25-H25</f>
        <v>0</v>
      </c>
      <c r="J25" s="30">
        <f>0-E25-F25-G25-H25-I25</f>
        <v>0</v>
      </c>
      <c r="K25" s="31">
        <f>260316.29-E25-F25-G25-H25-I25-J25</f>
        <v>260316.29</v>
      </c>
      <c r="L25" s="34">
        <f>260316.29-E25-F25-G25-H25-I25-J25-K25</f>
        <v>0</v>
      </c>
      <c r="M25" s="3">
        <f>260316.29-E25-F25-G25-H25-I25-J25-K25-L25</f>
        <v>0</v>
      </c>
      <c r="N25" s="33">
        <f>260316.29-E25-F25-G25-H25-I25-J25-K25-L25-M25</f>
        <v>0</v>
      </c>
      <c r="O25" s="34"/>
      <c r="P25" s="35"/>
    </row>
    <row r="26" spans="1:16" x14ac:dyDescent="1.35">
      <c r="A26" s="27" t="s">
        <v>32</v>
      </c>
      <c r="B26" s="28">
        <v>0</v>
      </c>
      <c r="C26" s="28">
        <v>1941000</v>
      </c>
      <c r="D26" s="29">
        <f t="shared" ref="D26:D64" si="4">SUM(E26:P26)</f>
        <v>1756660.1</v>
      </c>
      <c r="E26" s="36">
        <v>0</v>
      </c>
      <c r="F26" s="37">
        <f>287294.6-E26</f>
        <v>287294.59999999998</v>
      </c>
      <c r="G26" s="5">
        <f>287294.6-E26-F26</f>
        <v>0</v>
      </c>
      <c r="H26" s="35">
        <f>287294.6-E26-F26-G26</f>
        <v>0</v>
      </c>
      <c r="I26" s="34">
        <f>287294.6-E26-F26-G26-H26</f>
        <v>0</v>
      </c>
      <c r="J26" s="35">
        <f>776935.6-E26-F26-G26-H26-I26</f>
        <v>489641</v>
      </c>
      <c r="K26" s="44">
        <f>776935.6-E26-F26-G26-H26-I26-J26</f>
        <v>0</v>
      </c>
      <c r="L26" s="39">
        <f>776935.6-E26-F26-G26-H26-I26-J26-K26</f>
        <v>0</v>
      </c>
      <c r="M26" s="3">
        <f>1721407.6-E26-F26-G26-H26-I26-J26-K26-L26</f>
        <v>944472</v>
      </c>
      <c r="N26" s="33">
        <f>1756660.1-E26-F26-G26-H26-I26-J26-K26-L26-M26</f>
        <v>35252.5</v>
      </c>
      <c r="O26" s="39"/>
      <c r="P26" s="38"/>
    </row>
    <row r="27" spans="1:16" ht="184.5" x14ac:dyDescent="1.35">
      <c r="A27" s="27" t="s">
        <v>33</v>
      </c>
      <c r="B27" s="28">
        <v>3246900</v>
      </c>
      <c r="C27" s="28">
        <v>-475221.86</v>
      </c>
      <c r="D27" s="29">
        <f>SUM(E27:P27)</f>
        <v>2050542</v>
      </c>
      <c r="E27" s="36">
        <v>0</v>
      </c>
      <c r="F27" s="37">
        <f>1361944.2-E27</f>
        <v>1361944.2</v>
      </c>
      <c r="G27" s="5">
        <f>1368844.2-E27-F27</f>
        <v>6900</v>
      </c>
      <c r="H27" s="30">
        <f>1368844.2-E27-F27-G27</f>
        <v>0</v>
      </c>
      <c r="I27" s="48">
        <f>1368844.2-E27-F27-G27-H27</f>
        <v>0</v>
      </c>
      <c r="J27" s="30">
        <f>1368844.2-E27-F27-G27-H27-I27</f>
        <v>0</v>
      </c>
      <c r="K27" s="31">
        <f>1368844.2-E27-F27-G27-H27-I27-J27</f>
        <v>0</v>
      </c>
      <c r="L27" s="34"/>
      <c r="M27" s="3">
        <f>1368844.2-E27-F27-G27-H27-I27-J27-K27-L27</f>
        <v>0</v>
      </c>
      <c r="N27" s="33">
        <f>2050542-E27-F27-G27-H27-I27-J27-K27-L27-M27</f>
        <v>681697.8</v>
      </c>
      <c r="O27" s="34"/>
      <c r="P27" s="35"/>
    </row>
    <row r="28" spans="1:16" ht="184.5" x14ac:dyDescent="1.35">
      <c r="A28" s="27" t="s">
        <v>34</v>
      </c>
      <c r="B28" s="28">
        <v>0</v>
      </c>
      <c r="C28" s="28">
        <v>0</v>
      </c>
      <c r="D28" s="29">
        <f t="shared" si="4"/>
        <v>0</v>
      </c>
      <c r="E28" s="36">
        <v>0</v>
      </c>
      <c r="F28" s="37">
        <v>0</v>
      </c>
      <c r="G28" s="5">
        <v>0</v>
      </c>
      <c r="H28" s="49"/>
      <c r="I28" s="6">
        <v>0</v>
      </c>
      <c r="J28" s="4">
        <v>0</v>
      </c>
      <c r="K28" s="50">
        <v>0</v>
      </c>
      <c r="L28" s="39">
        <v>0</v>
      </c>
      <c r="M28" s="3">
        <v>0</v>
      </c>
      <c r="N28" s="33"/>
      <c r="O28" s="34"/>
    </row>
    <row r="29" spans="1:16" ht="184.5" x14ac:dyDescent="1.35">
      <c r="A29" s="27" t="s">
        <v>35</v>
      </c>
      <c r="B29" s="28">
        <v>0</v>
      </c>
      <c r="C29" s="28">
        <v>530000</v>
      </c>
      <c r="D29" s="29">
        <f t="shared" si="4"/>
        <v>473995.99</v>
      </c>
      <c r="E29" s="36">
        <v>0</v>
      </c>
      <c r="F29" s="37">
        <v>0</v>
      </c>
      <c r="G29" s="5">
        <v>0</v>
      </c>
      <c r="H29" s="35">
        <f>0-E29-F29-G29</f>
        <v>0</v>
      </c>
      <c r="I29" s="34">
        <v>0</v>
      </c>
      <c r="J29" s="35">
        <f>2596-E29-F29-G29-H29-I29</f>
        <v>2596</v>
      </c>
      <c r="K29" s="44">
        <f>2596-E29-F29-G29-H29-I29-J29</f>
        <v>0</v>
      </c>
      <c r="L29" s="34"/>
      <c r="M29" s="3">
        <f>2596-E29-F29-G29-H29-I29-J29-K29-L29</f>
        <v>0</v>
      </c>
      <c r="N29" s="33">
        <f>473995.99-E29-F29-G29-H29-I29-J29-K29-L29-M29</f>
        <v>471399.99</v>
      </c>
      <c r="O29" s="34"/>
      <c r="P29" s="35"/>
    </row>
    <row r="30" spans="1:16" ht="276.75" x14ac:dyDescent="1.35">
      <c r="A30" s="27" t="s">
        <v>36</v>
      </c>
      <c r="B30" s="28">
        <v>100000</v>
      </c>
      <c r="C30" s="28">
        <v>15100</v>
      </c>
      <c r="D30" s="29">
        <f t="shared" si="4"/>
        <v>7568.52</v>
      </c>
      <c r="E30" s="36">
        <v>0</v>
      </c>
      <c r="F30" s="37">
        <f>0</f>
        <v>0</v>
      </c>
      <c r="G30" s="5">
        <v>0</v>
      </c>
      <c r="H30" s="38">
        <f>0-E30-F30-G30</f>
        <v>0</v>
      </c>
      <c r="I30" s="51">
        <v>0</v>
      </c>
      <c r="J30" s="49">
        <f>7568.52-E30-F30-G30-H30-I30</f>
        <v>7568.52</v>
      </c>
      <c r="K30" s="50">
        <f>7568.52-E30-F30-G30-H30-I30-J30</f>
        <v>0</v>
      </c>
      <c r="L30" s="39">
        <f>7568.52-E30-F30-G30-H30-I30-J30-K30</f>
        <v>0</v>
      </c>
      <c r="M30" s="3">
        <f>7568.52-E30-F30-G30-H30-I30-J30-K30-L30</f>
        <v>0</v>
      </c>
      <c r="N30" s="33">
        <f>7568.52-E30-F30-G30-H30-I30-J30-K30-L30-M30</f>
        <v>0</v>
      </c>
      <c r="O30" s="34"/>
      <c r="P30" s="35"/>
    </row>
    <row r="31" spans="1:16" ht="276.75" x14ac:dyDescent="1.35">
      <c r="A31" s="27" t="s">
        <v>37</v>
      </c>
      <c r="B31" s="28">
        <v>14380000</v>
      </c>
      <c r="C31" s="28">
        <v>-2913000</v>
      </c>
      <c r="D31" s="29">
        <f>E31+F31+G31+H31+I31+J31+K31+L31+M31+N31+O31+P31</f>
        <v>8121110.1500000004</v>
      </c>
      <c r="E31" s="52">
        <v>0</v>
      </c>
      <c r="F31" s="37">
        <f>415922.56-E31</f>
        <v>415922.56</v>
      </c>
      <c r="G31" s="53">
        <f>955487.55-E31-F31</f>
        <v>539564.99</v>
      </c>
      <c r="H31" s="30">
        <f>2781248.96-E31-F31-G31</f>
        <v>1825761.41</v>
      </c>
      <c r="I31" s="3">
        <f>3204402.66-E31-F31-G31-H31</f>
        <v>423153.70000000042</v>
      </c>
      <c r="J31" s="54">
        <f>5097353.01-E31-F31-G31-H31-I31</f>
        <v>1892950.3499999994</v>
      </c>
      <c r="K31" s="31">
        <f>5410045.86-E31-F31-G31-H31-I31-J31</f>
        <v>312692.85000000079</v>
      </c>
      <c r="L31" s="55">
        <f>5800085.96-E31-F31-G31-H31-I31-J31-K31</f>
        <v>390040.09999999963</v>
      </c>
      <c r="M31" s="56">
        <f>6188191.28-E31-F31-G31-H31-I31-J31-K31-L31</f>
        <v>388105.3200000003</v>
      </c>
      <c r="N31" s="57">
        <f>8121110.15-E31-F31-G31-H31-I31-J31-K31-L31-M31</f>
        <v>1932918.87</v>
      </c>
      <c r="O31" s="34"/>
      <c r="P31" s="58"/>
    </row>
    <row r="32" spans="1:16" s="60" customFormat="1" ht="369" x14ac:dyDescent="1.35">
      <c r="A32" s="27" t="s">
        <v>38</v>
      </c>
      <c r="B32" s="28">
        <v>0</v>
      </c>
      <c r="C32" s="28">
        <v>0</v>
      </c>
      <c r="D32" s="29">
        <f t="shared" si="4"/>
        <v>0</v>
      </c>
      <c r="E32" s="59"/>
      <c r="F32" s="37"/>
      <c r="G32" s="53">
        <v>0</v>
      </c>
      <c r="I32" s="61">
        <v>0</v>
      </c>
      <c r="J32" s="60">
        <v>0</v>
      </c>
      <c r="K32" s="62">
        <v>0</v>
      </c>
      <c r="L32" s="61"/>
      <c r="N32" s="57"/>
      <c r="O32" s="34"/>
    </row>
    <row r="33" spans="1:16" ht="184.5" x14ac:dyDescent="1.35">
      <c r="A33" s="27" t="s">
        <v>39</v>
      </c>
      <c r="B33" s="28">
        <v>2828888</v>
      </c>
      <c r="C33" s="28">
        <v>1024722</v>
      </c>
      <c r="D33" s="29">
        <f t="shared" si="4"/>
        <v>1965785.25</v>
      </c>
      <c r="E33" s="36"/>
      <c r="F33" s="37">
        <f>431591.1-E33</f>
        <v>431591.1</v>
      </c>
      <c r="G33" s="5">
        <f>431591.1-E33-F33</f>
        <v>0</v>
      </c>
      <c r="H33" s="30">
        <f>431591.1-E33-F33-G33</f>
        <v>0</v>
      </c>
      <c r="I33" s="3">
        <f>1065546.1-E33-F33-G33-H33</f>
        <v>633955.00000000012</v>
      </c>
      <c r="J33" s="30">
        <f>1226944.14-E33-F33-G33-H33-I33</f>
        <v>161398.0399999998</v>
      </c>
      <c r="K33" s="31">
        <f>1226944.14-E33-F33-G33-H33-I33-J33</f>
        <v>0</v>
      </c>
      <c r="L33" s="34">
        <f>1226944.14-E33-F33-G33-H33-I33-J33-K33</f>
        <v>0</v>
      </c>
      <c r="M33" s="3"/>
      <c r="N33" s="33">
        <f>1965785.25-E33-F33-G33-H33-I33-J33-K33-L33-M33</f>
        <v>738841.11</v>
      </c>
      <c r="O33" s="34"/>
      <c r="P33" s="35"/>
    </row>
    <row r="34" spans="1:16" ht="184.5" x14ac:dyDescent="1.35">
      <c r="A34" s="22" t="s">
        <v>40</v>
      </c>
      <c r="B34" s="63">
        <f t="shared" ref="B34:J34" si="5">SUM(B35:B41)</f>
        <v>0</v>
      </c>
      <c r="C34" s="63">
        <f t="shared" si="5"/>
        <v>0</v>
      </c>
      <c r="D34" s="24">
        <f t="shared" si="5"/>
        <v>0</v>
      </c>
      <c r="E34" s="24">
        <f t="shared" si="5"/>
        <v>0</v>
      </c>
      <c r="F34" s="24">
        <f t="shared" si="5"/>
        <v>0</v>
      </c>
      <c r="G34" s="24">
        <f t="shared" si="5"/>
        <v>0</v>
      </c>
      <c r="H34" s="24">
        <f t="shared" si="5"/>
        <v>0</v>
      </c>
      <c r="I34" s="24">
        <f t="shared" si="5"/>
        <v>0</v>
      </c>
      <c r="J34" s="24">
        <f t="shared" si="5"/>
        <v>0</v>
      </c>
      <c r="K34" s="47">
        <v>0</v>
      </c>
      <c r="L34" s="41"/>
      <c r="M34" s="56">
        <f>1226944.14-E32-F32-G32-H32-I32-J32-K32-L32</f>
        <v>1226944.1399999999</v>
      </c>
      <c r="N34" s="33"/>
      <c r="O34" s="6"/>
    </row>
    <row r="35" spans="1:16" ht="184.5" x14ac:dyDescent="1.35">
      <c r="A35" s="27" t="s">
        <v>41</v>
      </c>
      <c r="B35" s="23">
        <v>0</v>
      </c>
      <c r="C35" s="23">
        <v>0</v>
      </c>
      <c r="D35" s="29">
        <f t="shared" si="4"/>
        <v>0</v>
      </c>
      <c r="E35" s="36">
        <v>0</v>
      </c>
      <c r="F35" s="37">
        <v>0</v>
      </c>
      <c r="G35" s="5">
        <v>0</v>
      </c>
      <c r="H35" s="4">
        <v>0</v>
      </c>
      <c r="I35" s="6">
        <v>0</v>
      </c>
      <c r="K35" s="64"/>
      <c r="L35" s="6"/>
      <c r="M35" s="3"/>
      <c r="N35" s="33"/>
      <c r="O35" s="6"/>
    </row>
    <row r="36" spans="1:16" ht="276.75" x14ac:dyDescent="1.35">
      <c r="A36" s="27" t="s">
        <v>42</v>
      </c>
      <c r="B36" s="23">
        <v>0</v>
      </c>
      <c r="C36" s="23">
        <v>0</v>
      </c>
      <c r="D36" s="29">
        <f t="shared" si="4"/>
        <v>0</v>
      </c>
      <c r="E36" s="36">
        <v>0</v>
      </c>
      <c r="F36" s="37">
        <v>0</v>
      </c>
      <c r="G36" s="5">
        <v>0</v>
      </c>
      <c r="H36" s="4">
        <v>0</v>
      </c>
      <c r="I36" s="6">
        <v>0</v>
      </c>
      <c r="K36" s="64">
        <v>0</v>
      </c>
      <c r="L36" s="6"/>
      <c r="M36" s="3"/>
      <c r="N36" s="33"/>
      <c r="O36" s="6"/>
    </row>
    <row r="37" spans="1:16" ht="276.75" x14ac:dyDescent="1.35">
      <c r="A37" s="27" t="s">
        <v>43</v>
      </c>
      <c r="B37" s="23">
        <v>0</v>
      </c>
      <c r="C37" s="23">
        <v>0</v>
      </c>
      <c r="D37" s="29">
        <f t="shared" si="4"/>
        <v>0</v>
      </c>
      <c r="E37" s="36">
        <v>0</v>
      </c>
      <c r="F37" s="37">
        <v>0</v>
      </c>
      <c r="G37" s="5">
        <v>0</v>
      </c>
      <c r="H37" s="4">
        <v>0</v>
      </c>
      <c r="I37" s="6">
        <v>0</v>
      </c>
      <c r="K37" s="64">
        <v>0</v>
      </c>
      <c r="L37" s="6"/>
      <c r="M37" s="3"/>
      <c r="N37" s="33"/>
      <c r="O37" s="6"/>
    </row>
    <row r="38" spans="1:16" ht="276.75" x14ac:dyDescent="1.35">
      <c r="A38" s="27" t="s">
        <v>44</v>
      </c>
      <c r="B38" s="23">
        <v>0</v>
      </c>
      <c r="C38" s="23">
        <v>0</v>
      </c>
      <c r="D38" s="29">
        <f t="shared" si="4"/>
        <v>0</v>
      </c>
      <c r="E38" s="36">
        <v>0</v>
      </c>
      <c r="F38" s="37">
        <v>0</v>
      </c>
      <c r="G38" s="5">
        <v>0</v>
      </c>
      <c r="H38" s="4">
        <v>0</v>
      </c>
      <c r="I38" s="6">
        <v>0</v>
      </c>
      <c r="K38" s="64">
        <v>0</v>
      </c>
      <c r="L38" s="6"/>
      <c r="M38" s="3"/>
      <c r="N38" s="33"/>
      <c r="O38" s="6"/>
    </row>
    <row r="39" spans="1:16" ht="276.75" x14ac:dyDescent="1.35">
      <c r="A39" s="27" t="s">
        <v>45</v>
      </c>
      <c r="B39" s="23">
        <v>0</v>
      </c>
      <c r="C39" s="23">
        <v>0</v>
      </c>
      <c r="D39" s="29">
        <f t="shared" si="4"/>
        <v>0</v>
      </c>
      <c r="E39" s="36">
        <v>0</v>
      </c>
      <c r="F39" s="37">
        <v>0</v>
      </c>
      <c r="G39" s="5">
        <v>0</v>
      </c>
      <c r="H39" s="4">
        <v>0</v>
      </c>
      <c r="I39" s="6">
        <v>0</v>
      </c>
      <c r="K39" s="64">
        <v>0</v>
      </c>
      <c r="L39" s="6"/>
      <c r="M39" s="3"/>
      <c r="N39" s="33"/>
      <c r="O39" s="6"/>
    </row>
    <row r="40" spans="1:16" ht="184.5" x14ac:dyDescent="1.35">
      <c r="A40" s="27" t="s">
        <v>46</v>
      </c>
      <c r="B40" s="23">
        <v>0</v>
      </c>
      <c r="C40" s="23">
        <v>0</v>
      </c>
      <c r="D40" s="29">
        <f t="shared" si="4"/>
        <v>0</v>
      </c>
      <c r="E40" s="36">
        <v>0</v>
      </c>
      <c r="F40" s="37">
        <v>0</v>
      </c>
      <c r="G40" s="5">
        <v>0</v>
      </c>
      <c r="H40" s="4">
        <v>0</v>
      </c>
      <c r="I40" s="6">
        <v>0</v>
      </c>
      <c r="K40" s="64">
        <v>0</v>
      </c>
      <c r="L40" s="6"/>
      <c r="M40" s="3"/>
      <c r="N40" s="33"/>
      <c r="O40" s="6"/>
    </row>
    <row r="41" spans="1:16" ht="276.75" x14ac:dyDescent="1.35">
      <c r="A41" s="27" t="s">
        <v>47</v>
      </c>
      <c r="B41" s="23">
        <v>0</v>
      </c>
      <c r="C41" s="23">
        <v>0</v>
      </c>
      <c r="D41" s="29">
        <f t="shared" si="4"/>
        <v>0</v>
      </c>
      <c r="E41" s="36">
        <v>0</v>
      </c>
      <c r="F41" s="37">
        <v>0</v>
      </c>
      <c r="G41" s="5">
        <v>0</v>
      </c>
      <c r="H41" s="4">
        <v>0</v>
      </c>
      <c r="I41" s="6">
        <v>0</v>
      </c>
      <c r="K41" s="64">
        <v>0</v>
      </c>
      <c r="L41" s="6"/>
      <c r="M41" s="3"/>
      <c r="N41" s="33"/>
      <c r="O41" s="6"/>
    </row>
    <row r="42" spans="1:16" ht="184.5" x14ac:dyDescent="1.35">
      <c r="A42" s="22" t="s">
        <v>48</v>
      </c>
      <c r="B42" s="63">
        <f t="shared" ref="B42:J42" si="6">SUM(B43:B49)</f>
        <v>0</v>
      </c>
      <c r="C42" s="63">
        <f t="shared" si="6"/>
        <v>0</v>
      </c>
      <c r="D42" s="24">
        <f t="shared" si="6"/>
        <v>0</v>
      </c>
      <c r="E42" s="24">
        <f t="shared" si="6"/>
        <v>0</v>
      </c>
      <c r="F42" s="24">
        <f t="shared" si="6"/>
        <v>0</v>
      </c>
      <c r="G42" s="24">
        <f t="shared" si="6"/>
        <v>0</v>
      </c>
      <c r="H42" s="24">
        <f t="shared" si="6"/>
        <v>0</v>
      </c>
      <c r="I42" s="24">
        <f t="shared" si="6"/>
        <v>0</v>
      </c>
      <c r="J42" s="24">
        <f t="shared" si="6"/>
        <v>0</v>
      </c>
      <c r="K42" s="47"/>
      <c r="L42" s="41"/>
      <c r="M42" s="42"/>
      <c r="N42" s="33"/>
      <c r="O42" s="6"/>
    </row>
    <row r="43" spans="1:16" ht="184.5" x14ac:dyDescent="1.35">
      <c r="A43" s="27" t="s">
        <v>49</v>
      </c>
      <c r="B43" s="23">
        <v>0</v>
      </c>
      <c r="C43" s="23">
        <v>0</v>
      </c>
      <c r="D43" s="29">
        <f t="shared" si="4"/>
        <v>0</v>
      </c>
      <c r="E43" s="36">
        <v>0</v>
      </c>
      <c r="F43" s="5">
        <v>0</v>
      </c>
      <c r="G43" s="5">
        <v>0</v>
      </c>
      <c r="H43" s="4">
        <v>0</v>
      </c>
      <c r="I43" s="6">
        <v>0</v>
      </c>
      <c r="K43" s="64"/>
      <c r="L43" s="6"/>
      <c r="M43" s="3"/>
      <c r="N43" s="33"/>
      <c r="O43" s="6"/>
    </row>
    <row r="44" spans="1:16" ht="276.75" x14ac:dyDescent="1.35">
      <c r="A44" s="27" t="s">
        <v>50</v>
      </c>
      <c r="B44" s="23">
        <v>0</v>
      </c>
      <c r="C44" s="23">
        <v>0</v>
      </c>
      <c r="D44" s="29">
        <f t="shared" si="4"/>
        <v>0</v>
      </c>
      <c r="E44" s="36"/>
      <c r="F44" s="5">
        <v>0</v>
      </c>
      <c r="G44" s="5">
        <v>0</v>
      </c>
      <c r="H44" s="4">
        <v>0</v>
      </c>
      <c r="I44" s="6">
        <v>0</v>
      </c>
      <c r="K44" s="64">
        <v>0</v>
      </c>
      <c r="L44" s="6"/>
      <c r="M44" s="3"/>
      <c r="N44" s="33"/>
      <c r="O44" s="6"/>
    </row>
    <row r="45" spans="1:16" ht="276.75" x14ac:dyDescent="1.35">
      <c r="A45" s="27" t="s">
        <v>51</v>
      </c>
      <c r="B45" s="23">
        <v>0</v>
      </c>
      <c r="C45" s="23">
        <v>0</v>
      </c>
      <c r="D45" s="29">
        <f t="shared" si="4"/>
        <v>0</v>
      </c>
      <c r="E45" s="36">
        <v>0</v>
      </c>
      <c r="F45" s="5">
        <v>0</v>
      </c>
      <c r="G45" s="5">
        <v>0</v>
      </c>
      <c r="H45" s="4">
        <v>0</v>
      </c>
      <c r="I45" s="6">
        <v>0</v>
      </c>
      <c r="K45" s="64">
        <v>0</v>
      </c>
      <c r="L45" s="6"/>
      <c r="M45" s="3"/>
      <c r="N45" s="33"/>
      <c r="O45" s="6"/>
    </row>
    <row r="46" spans="1:16" ht="276.75" x14ac:dyDescent="1.35">
      <c r="A46" s="27" t="s">
        <v>52</v>
      </c>
      <c r="B46" s="23">
        <v>0</v>
      </c>
      <c r="C46" s="23">
        <v>0</v>
      </c>
      <c r="D46" s="29">
        <f t="shared" si="4"/>
        <v>0</v>
      </c>
      <c r="E46" s="36">
        <v>0</v>
      </c>
      <c r="F46" s="5">
        <v>0</v>
      </c>
      <c r="G46" s="5">
        <v>0</v>
      </c>
      <c r="H46" s="4">
        <v>0</v>
      </c>
      <c r="I46" s="6">
        <v>0</v>
      </c>
      <c r="K46" s="64">
        <v>0</v>
      </c>
      <c r="L46" s="6"/>
      <c r="M46" s="3"/>
      <c r="N46" s="33"/>
      <c r="O46" s="6"/>
    </row>
    <row r="47" spans="1:16" ht="276.75" x14ac:dyDescent="1.35">
      <c r="A47" s="27" t="s">
        <v>53</v>
      </c>
      <c r="B47" s="23">
        <v>0</v>
      </c>
      <c r="C47" s="23">
        <v>0</v>
      </c>
      <c r="D47" s="29">
        <f t="shared" si="4"/>
        <v>0</v>
      </c>
      <c r="E47" s="36">
        <v>0</v>
      </c>
      <c r="F47" s="5">
        <v>0</v>
      </c>
      <c r="G47" s="5">
        <v>0</v>
      </c>
      <c r="H47" s="4">
        <v>0</v>
      </c>
      <c r="I47" s="6">
        <v>0</v>
      </c>
      <c r="K47" s="64">
        <v>0</v>
      </c>
      <c r="L47" s="6"/>
      <c r="M47" s="3"/>
      <c r="N47" s="33"/>
      <c r="O47" s="6"/>
    </row>
    <row r="48" spans="1:16" ht="184.5" x14ac:dyDescent="1.35">
      <c r="A48" s="27" t="s">
        <v>54</v>
      </c>
      <c r="B48" s="23">
        <v>0</v>
      </c>
      <c r="C48" s="23">
        <v>0</v>
      </c>
      <c r="D48" s="29">
        <f t="shared" si="4"/>
        <v>0</v>
      </c>
      <c r="E48" s="36">
        <v>0</v>
      </c>
      <c r="F48" s="5">
        <v>0</v>
      </c>
      <c r="G48" s="5">
        <v>0</v>
      </c>
      <c r="H48" s="4">
        <v>0</v>
      </c>
      <c r="I48" s="6">
        <v>0</v>
      </c>
      <c r="K48" s="64">
        <v>0</v>
      </c>
      <c r="L48" s="6"/>
      <c r="M48" s="3"/>
      <c r="N48" s="33"/>
      <c r="O48" s="6"/>
    </row>
    <row r="49" spans="1:16" ht="276.75" x14ac:dyDescent="1.35">
      <c r="A49" s="27" t="s">
        <v>55</v>
      </c>
      <c r="B49" s="23">
        <v>0</v>
      </c>
      <c r="C49" s="23">
        <v>0</v>
      </c>
      <c r="D49" s="29">
        <f t="shared" si="4"/>
        <v>0</v>
      </c>
      <c r="E49" s="36">
        <v>0</v>
      </c>
      <c r="F49" s="5">
        <v>0</v>
      </c>
      <c r="G49" s="5">
        <v>0</v>
      </c>
      <c r="H49" s="4">
        <v>0</v>
      </c>
      <c r="I49" s="6">
        <v>0</v>
      </c>
      <c r="K49" s="64">
        <v>0</v>
      </c>
      <c r="L49" s="6"/>
      <c r="M49" s="3"/>
      <c r="N49" s="33"/>
      <c r="O49" s="6"/>
    </row>
    <row r="50" spans="1:16" ht="184.5" x14ac:dyDescent="1.35">
      <c r="A50" s="22" t="s">
        <v>56</v>
      </c>
      <c r="B50" s="23">
        <f t="shared" ref="B50:J50" si="7">SUM(B51:B59)</f>
        <v>2900000</v>
      </c>
      <c r="C50" s="23">
        <f t="shared" si="7"/>
        <v>10129000</v>
      </c>
      <c r="D50" s="24">
        <f t="shared" si="7"/>
        <v>2829498.92</v>
      </c>
      <c r="E50" s="24">
        <f t="shared" si="7"/>
        <v>0</v>
      </c>
      <c r="F50" s="24">
        <f t="shared" si="7"/>
        <v>1429565.28</v>
      </c>
      <c r="G50" s="25">
        <f t="shared" si="7"/>
        <v>-1050785.28</v>
      </c>
      <c r="H50" s="25">
        <f t="shared" si="7"/>
        <v>1429565.28</v>
      </c>
      <c r="I50" s="25">
        <f t="shared" si="7"/>
        <v>-332887.14</v>
      </c>
      <c r="J50" s="25">
        <f t="shared" si="7"/>
        <v>0</v>
      </c>
      <c r="K50" s="47"/>
      <c r="L50" s="41"/>
      <c r="M50" s="42"/>
      <c r="N50" s="33"/>
      <c r="O50" s="6"/>
    </row>
    <row r="51" spans="1:16" x14ac:dyDescent="1.35">
      <c r="A51" s="27" t="s">
        <v>57</v>
      </c>
      <c r="B51" s="28">
        <v>1900000</v>
      </c>
      <c r="C51" s="28">
        <v>1824000</v>
      </c>
      <c r="D51" s="29">
        <f t="shared" si="4"/>
        <v>2344565.29</v>
      </c>
      <c r="E51" s="36"/>
      <c r="F51" s="5">
        <f>1429565.28-E51</f>
        <v>1429565.28</v>
      </c>
      <c r="G51" s="5">
        <f>0-E51-F51</f>
        <v>-1429565.28</v>
      </c>
      <c r="H51" s="30">
        <f>1429565.28-E51-F51-G51</f>
        <v>1429565.28</v>
      </c>
      <c r="I51" s="3">
        <f>1429565.28-F51-G51-H51</f>
        <v>0</v>
      </c>
      <c r="J51" s="30">
        <f>1429565.28-E51-F51-G51-H51-I51</f>
        <v>0</v>
      </c>
      <c r="K51" s="31">
        <f>2344565.29-E51-F51-G51-H51-I51-J51</f>
        <v>915000.01</v>
      </c>
      <c r="L51" s="34">
        <f>2344565.29-E51-F51-G51-H51-I51-J51-K51</f>
        <v>0</v>
      </c>
      <c r="M51" s="3">
        <f>2344565.29-E51-F51-G51-H51-I51-J51-K51-L51</f>
        <v>0</v>
      </c>
      <c r="N51" s="33">
        <f>2344565.29-E51-F51-G51-H51-I51-J51-K51-L51-M51</f>
        <v>0</v>
      </c>
      <c r="O51" s="34"/>
      <c r="P51" s="35"/>
    </row>
    <row r="52" spans="1:16" ht="184.5" x14ac:dyDescent="1.35">
      <c r="A52" s="27" t="s">
        <v>58</v>
      </c>
      <c r="B52" s="28">
        <v>0</v>
      </c>
      <c r="C52" s="28">
        <v>0</v>
      </c>
      <c r="D52" s="29">
        <f t="shared" si="4"/>
        <v>0</v>
      </c>
      <c r="E52" s="36"/>
      <c r="F52" s="5">
        <v>0</v>
      </c>
      <c r="I52" s="51">
        <v>0</v>
      </c>
      <c r="J52" s="38">
        <v>0</v>
      </c>
      <c r="K52" s="50"/>
      <c r="L52" s="51"/>
      <c r="M52" s="3">
        <v>0</v>
      </c>
      <c r="N52" s="33"/>
      <c r="O52" s="34"/>
      <c r="P52" s="38"/>
    </row>
    <row r="53" spans="1:16" ht="184.5" x14ac:dyDescent="1.35">
      <c r="A53" s="27" t="s">
        <v>59</v>
      </c>
      <c r="B53" s="28">
        <v>0</v>
      </c>
      <c r="C53" s="28">
        <v>75000</v>
      </c>
      <c r="D53" s="29">
        <f t="shared" si="4"/>
        <v>69784.320000000007</v>
      </c>
      <c r="E53" s="36"/>
      <c r="F53" s="5">
        <v>0</v>
      </c>
      <c r="I53" s="39">
        <f>45892.86-E53-F53-G53-H53</f>
        <v>45892.86</v>
      </c>
      <c r="J53" s="38">
        <f>45892.86-E53-F53-G53-H53-I53</f>
        <v>0</v>
      </c>
      <c r="K53" s="46">
        <f>45892.86-E53-F53-G53-H53-I53-J53</f>
        <v>0</v>
      </c>
      <c r="L53" s="51">
        <f>69784.32-E53-F53-G53-H53-I53-J53-K53</f>
        <v>23891.460000000006</v>
      </c>
      <c r="M53" s="3">
        <f>69784.32-E53-F53-G53-H53-I53-J53-K53-L53</f>
        <v>0</v>
      </c>
      <c r="N53" s="33">
        <f>69784.32-E53-F53-G53-H53-I53-J53-K53-L53-M53</f>
        <v>0</v>
      </c>
      <c r="O53" s="34"/>
      <c r="P53" s="35"/>
    </row>
    <row r="54" spans="1:16" ht="276.75" x14ac:dyDescent="1.35">
      <c r="A54" s="27" t="s">
        <v>60</v>
      </c>
      <c r="B54" s="28">
        <v>1000000</v>
      </c>
      <c r="C54" s="28">
        <v>7500000</v>
      </c>
      <c r="D54" s="29">
        <f t="shared" si="4"/>
        <v>0</v>
      </c>
      <c r="E54" s="36"/>
      <c r="F54" s="5">
        <v>0</v>
      </c>
      <c r="G54" s="5">
        <f>0</f>
        <v>0</v>
      </c>
      <c r="H54" s="30">
        <f>0-E54-F54-G54</f>
        <v>0</v>
      </c>
      <c r="I54" s="3">
        <v>0</v>
      </c>
      <c r="J54" s="30">
        <v>0</v>
      </c>
      <c r="K54" s="31">
        <v>0</v>
      </c>
      <c r="L54" s="34">
        <f>0-E54-F54-G54-H54-I54-J54-K54</f>
        <v>0</v>
      </c>
      <c r="M54" s="3">
        <v>0</v>
      </c>
      <c r="N54" s="33">
        <v>0</v>
      </c>
      <c r="O54" s="34"/>
      <c r="P54" s="38"/>
    </row>
    <row r="55" spans="1:16" ht="184.5" x14ac:dyDescent="1.35">
      <c r="A55" s="27" t="s">
        <v>61</v>
      </c>
      <c r="B55" s="28"/>
      <c r="C55" s="28">
        <v>610000</v>
      </c>
      <c r="D55" s="29">
        <f t="shared" si="4"/>
        <v>415149.31</v>
      </c>
      <c r="E55" s="36"/>
      <c r="F55" s="5">
        <v>0</v>
      </c>
      <c r="G55" s="5">
        <f>378780-E55-F55</f>
        <v>378780</v>
      </c>
      <c r="H55" s="30"/>
      <c r="I55" s="34">
        <f>0-E55-F55-G55-H55</f>
        <v>-378780</v>
      </c>
      <c r="J55" s="30"/>
      <c r="K55" s="31">
        <f>0-E55-F55-G55-H55-I55-J55</f>
        <v>0</v>
      </c>
      <c r="L55" s="34">
        <f>0-E55-F55-G55-H55-I55-J55-K55</f>
        <v>0</v>
      </c>
      <c r="M55" s="3"/>
      <c r="N55" s="33">
        <f>415149.31-E55-F55-G55-H55-I55-J55-K55-L55-M55</f>
        <v>415149.31</v>
      </c>
      <c r="O55" s="34"/>
      <c r="P55" s="35"/>
    </row>
    <row r="56" spans="1:16" ht="184.5" x14ac:dyDescent="1.35">
      <c r="A56" s="27" t="s">
        <v>62</v>
      </c>
      <c r="B56" s="28"/>
      <c r="C56" s="28"/>
      <c r="D56" s="29">
        <f t="shared" si="4"/>
        <v>0</v>
      </c>
      <c r="E56" s="36"/>
      <c r="F56" s="5">
        <v>0</v>
      </c>
      <c r="K56" s="64"/>
      <c r="L56" s="6"/>
      <c r="M56" s="3"/>
      <c r="N56" s="33"/>
      <c r="O56" s="34"/>
      <c r="P56" s="38"/>
    </row>
    <row r="57" spans="1:16" ht="184.5" x14ac:dyDescent="1.35">
      <c r="A57" s="27" t="s">
        <v>63</v>
      </c>
      <c r="B57" s="28"/>
      <c r="C57" s="28"/>
      <c r="D57" s="29">
        <f t="shared" si="4"/>
        <v>0</v>
      </c>
      <c r="E57" s="36"/>
      <c r="F57" s="5">
        <v>0</v>
      </c>
      <c r="K57" s="46">
        <f>0-E57-F57-G57-H57-I57-J57</f>
        <v>0</v>
      </c>
      <c r="L57" s="6"/>
      <c r="M57" s="3"/>
      <c r="N57" s="33"/>
      <c r="O57" s="34"/>
    </row>
    <row r="58" spans="1:16" x14ac:dyDescent="1.35">
      <c r="A58" s="27" t="s">
        <v>64</v>
      </c>
      <c r="B58" s="28"/>
      <c r="C58" s="28">
        <v>120000</v>
      </c>
      <c r="D58" s="29">
        <f t="shared" si="4"/>
        <v>0</v>
      </c>
      <c r="E58" s="36"/>
      <c r="F58" s="5">
        <v>0</v>
      </c>
      <c r="H58" s="49"/>
      <c r="I58" s="51"/>
      <c r="K58" s="50"/>
      <c r="L58" s="51"/>
      <c r="M58" s="3"/>
      <c r="N58" s="33">
        <v>0</v>
      </c>
      <c r="O58" s="34"/>
      <c r="P58" s="35"/>
    </row>
    <row r="59" spans="1:16" ht="276.75" x14ac:dyDescent="1.35">
      <c r="A59" s="27" t="s">
        <v>65</v>
      </c>
      <c r="B59" s="28">
        <v>0</v>
      </c>
      <c r="C59" s="28">
        <v>0</v>
      </c>
      <c r="D59" s="29">
        <f t="shared" si="4"/>
        <v>0</v>
      </c>
      <c r="E59" s="36"/>
      <c r="K59" s="64"/>
      <c r="L59" s="6"/>
      <c r="M59" s="3"/>
      <c r="N59" s="33"/>
      <c r="O59" s="34"/>
      <c r="P59" s="38"/>
    </row>
    <row r="60" spans="1:16" x14ac:dyDescent="1.35">
      <c r="A60" s="22" t="s">
        <v>66</v>
      </c>
      <c r="B60" s="23">
        <f>SUM(B61:B64)</f>
        <v>0</v>
      </c>
      <c r="C60" s="23">
        <f>SUM(C61:C64)</f>
        <v>6309146.4900000002</v>
      </c>
      <c r="D60" s="23">
        <f>SUM(D61:D64)</f>
        <v>6309146.4900000002</v>
      </c>
      <c r="E60" s="42">
        <f>SUM(E61:E64)</f>
        <v>0</v>
      </c>
      <c r="F60" s="42">
        <f>SUM(F61:F64)</f>
        <v>0</v>
      </c>
      <c r="G60" s="42">
        <f t="shared" ref="G60:J60" si="8">SUM(G61:G64)</f>
        <v>0</v>
      </c>
      <c r="H60" s="42">
        <f t="shared" si="8"/>
        <v>2152320</v>
      </c>
      <c r="I60" s="42">
        <f t="shared" si="8"/>
        <v>4156826.49</v>
      </c>
      <c r="J60" s="42">
        <f t="shared" si="8"/>
        <v>0</v>
      </c>
      <c r="K60" s="47"/>
      <c r="L60" s="41"/>
      <c r="M60" s="42"/>
      <c r="N60" s="33"/>
      <c r="O60" s="34"/>
    </row>
    <row r="61" spans="1:16" x14ac:dyDescent="1.35">
      <c r="A61" s="27" t="s">
        <v>67</v>
      </c>
      <c r="B61" s="28">
        <v>0</v>
      </c>
      <c r="C61" s="28">
        <v>2152320</v>
      </c>
      <c r="D61" s="3">
        <f t="shared" si="4"/>
        <v>2152320</v>
      </c>
      <c r="E61" s="36">
        <v>0</v>
      </c>
      <c r="F61" s="5">
        <v>0</v>
      </c>
      <c r="G61" s="5">
        <v>0</v>
      </c>
      <c r="H61" s="35">
        <f>2152320-E61-F61-G61</f>
        <v>2152320</v>
      </c>
      <c r="I61" s="34">
        <f>2152320-E61-F61-G61-H61</f>
        <v>0</v>
      </c>
      <c r="J61" s="35">
        <f>2152320-E61-F61-G61-H61-I61</f>
        <v>0</v>
      </c>
      <c r="K61" s="46">
        <f>2152320-E61-F61-G61-H61-I61-J61</f>
        <v>0</v>
      </c>
      <c r="L61" s="39">
        <f>2152320-E61-F61-G61-H61-I61-J61-M61</f>
        <v>0</v>
      </c>
      <c r="M61" s="3">
        <v>0</v>
      </c>
      <c r="N61" s="33">
        <f>2152320-E61-F61-G61-H61-I61-J61-K61-L61-M61</f>
        <v>0</v>
      </c>
      <c r="O61" s="34"/>
      <c r="P61" s="38"/>
    </row>
    <row r="62" spans="1:16" x14ac:dyDescent="1.35">
      <c r="A62" s="27" t="s">
        <v>68</v>
      </c>
      <c r="B62" s="28"/>
      <c r="C62" s="28">
        <v>4156826.49</v>
      </c>
      <c r="D62" s="3">
        <f t="shared" si="4"/>
        <v>4156826.49</v>
      </c>
      <c r="E62" s="36">
        <v>0</v>
      </c>
      <c r="F62" s="5">
        <v>0</v>
      </c>
      <c r="G62" s="5">
        <v>0</v>
      </c>
      <c r="H62" s="38">
        <f>0-E62-F62-G62</f>
        <v>0</v>
      </c>
      <c r="I62" s="39">
        <f>4156826.49-E62-F62-G62</f>
        <v>4156826.49</v>
      </c>
      <c r="J62" s="38">
        <f>4156826.49-E62-F62-G62-H62-I62</f>
        <v>0</v>
      </c>
      <c r="K62" s="46">
        <f>4156826.49-E62-F62-G62-H62-I62-J62</f>
        <v>0</v>
      </c>
      <c r="L62" s="39">
        <f>4156826.49-E62-F62-G62-H62-I62-K62</f>
        <v>0</v>
      </c>
      <c r="M62" s="3">
        <v>0</v>
      </c>
      <c r="N62" s="33">
        <f>4156826.49-E62-F62-G62-H62-I62-J62-K62-L62-M62</f>
        <v>0</v>
      </c>
      <c r="O62" s="6"/>
      <c r="P62" s="38"/>
    </row>
    <row r="63" spans="1:16" ht="184.5" x14ac:dyDescent="1.35">
      <c r="A63" s="27" t="s">
        <v>69</v>
      </c>
      <c r="B63" s="28"/>
      <c r="C63" s="28"/>
      <c r="D63" s="3">
        <f t="shared" si="4"/>
        <v>0</v>
      </c>
      <c r="E63" s="36">
        <v>0</v>
      </c>
      <c r="F63" s="5">
        <v>0</v>
      </c>
      <c r="G63" s="5">
        <v>0</v>
      </c>
      <c r="H63" s="4">
        <v>0</v>
      </c>
      <c r="I63" s="6">
        <v>0</v>
      </c>
      <c r="K63" s="64"/>
      <c r="L63" s="6">
        <v>0</v>
      </c>
      <c r="M63" s="3"/>
      <c r="N63" s="33"/>
      <c r="O63" s="6"/>
    </row>
    <row r="64" spans="1:16" ht="369" x14ac:dyDescent="1.35">
      <c r="A64" s="27" t="s">
        <v>70</v>
      </c>
      <c r="B64" s="28"/>
      <c r="C64" s="28"/>
      <c r="D64" s="3">
        <f t="shared" si="4"/>
        <v>0</v>
      </c>
      <c r="E64" s="36">
        <v>0</v>
      </c>
      <c r="F64" s="5">
        <v>0</v>
      </c>
      <c r="G64" s="5">
        <v>0</v>
      </c>
      <c r="H64" s="4">
        <v>0</v>
      </c>
      <c r="I64" s="6">
        <v>0</v>
      </c>
      <c r="K64" s="64"/>
      <c r="L64" s="6">
        <v>0</v>
      </c>
      <c r="M64" s="3"/>
      <c r="N64" s="33"/>
      <c r="O64" s="6"/>
    </row>
    <row r="65" spans="1:16" ht="276.75" x14ac:dyDescent="1.35">
      <c r="A65" s="22" t="s">
        <v>71</v>
      </c>
      <c r="B65" s="23"/>
      <c r="C65" s="23"/>
      <c r="D65" s="42">
        <f>SUM(D66:D67)</f>
        <v>0</v>
      </c>
      <c r="E65" s="42">
        <f>SUM(E66:E67)</f>
        <v>0</v>
      </c>
      <c r="F65" s="42">
        <f>SUM(F66:F67)</f>
        <v>0</v>
      </c>
      <c r="G65" s="25">
        <f>SUM(G66:G67)</f>
        <v>0</v>
      </c>
      <c r="K65" s="64"/>
      <c r="L65" s="6">
        <v>0</v>
      </c>
      <c r="M65" s="3"/>
      <c r="N65" s="33"/>
      <c r="O65" s="6"/>
    </row>
    <row r="66" spans="1:16" x14ac:dyDescent="1.35">
      <c r="A66" s="27" t="s">
        <v>72</v>
      </c>
      <c r="B66" s="28"/>
      <c r="C66" s="28"/>
      <c r="E66" s="36"/>
      <c r="F66" s="5">
        <v>0</v>
      </c>
      <c r="G66" s="5">
        <v>0</v>
      </c>
      <c r="H66" s="4">
        <v>0</v>
      </c>
      <c r="I66" s="6">
        <v>0</v>
      </c>
      <c r="K66" s="64"/>
      <c r="L66" s="6"/>
      <c r="M66" s="3"/>
      <c r="N66" s="33"/>
      <c r="O66" s="6"/>
    </row>
    <row r="67" spans="1:16" ht="276.75" x14ac:dyDescent="1.35">
      <c r="A67" s="27" t="s">
        <v>73</v>
      </c>
      <c r="B67" s="28"/>
      <c r="C67" s="28"/>
      <c r="E67" s="36">
        <v>0</v>
      </c>
      <c r="F67" s="5">
        <v>0</v>
      </c>
      <c r="G67" s="5">
        <v>0</v>
      </c>
      <c r="H67" s="4">
        <v>0</v>
      </c>
      <c r="I67" s="6">
        <v>0</v>
      </c>
      <c r="K67" s="64"/>
      <c r="L67" s="6">
        <v>0</v>
      </c>
      <c r="M67" s="3"/>
      <c r="N67" s="33"/>
      <c r="O67" s="6"/>
    </row>
    <row r="68" spans="1:16" x14ac:dyDescent="1.35">
      <c r="A68" s="22" t="s">
        <v>74</v>
      </c>
      <c r="B68" s="23"/>
      <c r="C68" s="23"/>
      <c r="D68" s="42">
        <f>SUM(D69:D71)</f>
        <v>0</v>
      </c>
      <c r="F68" s="42">
        <f>SUM(E69:E71)</f>
        <v>0</v>
      </c>
      <c r="G68" s="25">
        <f>SUM(F69:F71)</f>
        <v>0</v>
      </c>
      <c r="K68" s="64"/>
      <c r="L68" s="6">
        <v>0</v>
      </c>
      <c r="M68" s="3"/>
      <c r="N68" s="33"/>
      <c r="O68" s="6"/>
    </row>
    <row r="69" spans="1:16" ht="184.5" x14ac:dyDescent="1.35">
      <c r="A69" s="27" t="s">
        <v>75</v>
      </c>
      <c r="B69" s="28"/>
      <c r="C69" s="28"/>
      <c r="E69" s="36">
        <v>0</v>
      </c>
      <c r="F69" s="5">
        <v>0</v>
      </c>
      <c r="G69" s="5">
        <v>0</v>
      </c>
      <c r="H69" s="4">
        <v>0</v>
      </c>
      <c r="I69" s="6">
        <v>0</v>
      </c>
      <c r="K69" s="64"/>
      <c r="L69" s="6"/>
      <c r="M69" s="3"/>
      <c r="N69" s="33"/>
      <c r="O69" s="6"/>
      <c r="P69" s="30"/>
    </row>
    <row r="70" spans="1:16" ht="184.5" x14ac:dyDescent="1.35">
      <c r="A70" s="27" t="s">
        <v>76</v>
      </c>
      <c r="B70" s="28"/>
      <c r="C70" s="28"/>
      <c r="E70" s="36">
        <v>0</v>
      </c>
      <c r="F70" s="5">
        <v>0</v>
      </c>
      <c r="G70" s="5">
        <v>0</v>
      </c>
      <c r="H70" s="4">
        <v>0</v>
      </c>
      <c r="I70" s="6">
        <v>0</v>
      </c>
      <c r="K70" s="64"/>
      <c r="L70" s="6">
        <v>0</v>
      </c>
      <c r="M70" s="3"/>
      <c r="N70" s="33"/>
      <c r="O70" s="6"/>
    </row>
    <row r="71" spans="1:16" ht="276.75" x14ac:dyDescent="1.35">
      <c r="A71" s="27" t="s">
        <v>77</v>
      </c>
      <c r="B71" s="28"/>
      <c r="C71" s="28"/>
      <c r="E71" s="36">
        <v>0</v>
      </c>
      <c r="F71" s="5">
        <v>0</v>
      </c>
      <c r="G71" s="5">
        <v>0</v>
      </c>
      <c r="H71" s="4">
        <v>0</v>
      </c>
      <c r="I71" s="6">
        <v>0</v>
      </c>
      <c r="K71" s="64"/>
      <c r="L71" s="6">
        <v>0</v>
      </c>
      <c r="M71" s="3"/>
      <c r="N71" s="33"/>
      <c r="O71" s="6"/>
    </row>
    <row r="72" spans="1:16" s="6" customFormat="1" x14ac:dyDescent="1.35">
      <c r="A72" s="65" t="s">
        <v>78</v>
      </c>
      <c r="B72" s="66">
        <f>B8+B14+B24+B50+B60</f>
        <v>306979786</v>
      </c>
      <c r="C72" s="66">
        <f>C8+C14+C24+C50+C60</f>
        <v>43864482.300000004</v>
      </c>
      <c r="D72" s="66">
        <f>D8+D14+D24+D50+D60</f>
        <v>232939541.11000001</v>
      </c>
      <c r="E72" s="67">
        <f t="shared" ref="E72:P72" si="9">SUM(E9:E71)</f>
        <v>16307764.189999999</v>
      </c>
      <c r="F72" s="68">
        <f t="shared" si="9"/>
        <v>36725207.93</v>
      </c>
      <c r="G72" s="68">
        <f t="shared" si="9"/>
        <v>19170458.779999997</v>
      </c>
      <c r="H72" s="68">
        <f t="shared" si="9"/>
        <v>37150661.510000005</v>
      </c>
      <c r="I72" s="68">
        <f>D72-87995555.18</f>
        <v>144943985.93000001</v>
      </c>
      <c r="J72" s="69">
        <f t="shared" si="9"/>
        <v>31515456.600000001</v>
      </c>
      <c r="K72" s="69">
        <f t="shared" si="9"/>
        <v>19704862.350000001</v>
      </c>
      <c r="L72" s="69">
        <f t="shared" si="9"/>
        <v>24526397.379999988</v>
      </c>
      <c r="M72" s="70">
        <f t="shared" si="9"/>
        <v>24758224.93999999</v>
      </c>
      <c r="N72" s="71">
        <f t="shared" si="9"/>
        <v>25485610.310000025</v>
      </c>
      <c r="O72" s="70">
        <f t="shared" si="9"/>
        <v>0</v>
      </c>
      <c r="P72" s="69">
        <f t="shared" si="9"/>
        <v>0</v>
      </c>
    </row>
    <row r="73" spans="1:16" x14ac:dyDescent="1.35">
      <c r="A73" s="27"/>
      <c r="B73" s="27"/>
      <c r="C73" s="27"/>
      <c r="E73" s="36"/>
      <c r="I73" s="39"/>
      <c r="K73" s="6"/>
      <c r="L73" s="6"/>
      <c r="M73" s="3"/>
      <c r="N73" s="33"/>
      <c r="O73" s="6"/>
    </row>
    <row r="74" spans="1:16" x14ac:dyDescent="1.35">
      <c r="A74" s="17" t="s">
        <v>79</v>
      </c>
      <c r="B74" s="17"/>
      <c r="C74" s="17"/>
      <c r="D74" s="72"/>
      <c r="E74" s="73"/>
      <c r="F74" s="74"/>
      <c r="G74" s="74"/>
      <c r="H74" s="73"/>
      <c r="I74" s="75"/>
      <c r="J74" s="73"/>
      <c r="K74" s="75"/>
      <c r="L74" s="75"/>
      <c r="M74" s="72"/>
      <c r="N74" s="76"/>
      <c r="O74" s="75"/>
      <c r="P74" s="73"/>
    </row>
    <row r="75" spans="1:16" ht="184.5" x14ac:dyDescent="1.35">
      <c r="A75" s="22" t="s">
        <v>80</v>
      </c>
      <c r="B75" s="22"/>
      <c r="C75" s="77">
        <f>183922650-D72</f>
        <v>-49016891.110000014</v>
      </c>
      <c r="D75" s="42">
        <f>D76+D77</f>
        <v>0</v>
      </c>
      <c r="E75" s="42">
        <f>E76+E77</f>
        <v>0</v>
      </c>
      <c r="F75" s="42">
        <f>F76+F77</f>
        <v>0</v>
      </c>
      <c r="G75" s="25">
        <f>G76+G77</f>
        <v>0</v>
      </c>
      <c r="J75" s="35">
        <f>J76+J77</f>
        <v>0</v>
      </c>
      <c r="K75" s="34"/>
      <c r="L75" s="6"/>
      <c r="M75" s="3"/>
      <c r="N75" s="33"/>
      <c r="O75" s="6"/>
    </row>
    <row r="76" spans="1:16" ht="184.5" x14ac:dyDescent="1.35">
      <c r="A76" s="27" t="s">
        <v>81</v>
      </c>
      <c r="B76" s="27"/>
      <c r="C76" s="78"/>
      <c r="E76" s="36">
        <v>0</v>
      </c>
      <c r="F76" s="37">
        <v>0</v>
      </c>
      <c r="H76" s="30">
        <v>0</v>
      </c>
      <c r="I76" s="6">
        <v>0</v>
      </c>
      <c r="K76" s="6"/>
      <c r="L76" s="34"/>
      <c r="M76" s="3"/>
      <c r="N76" s="33"/>
      <c r="O76" s="6"/>
    </row>
    <row r="77" spans="1:16" ht="184.5" x14ac:dyDescent="1.35">
      <c r="A77" s="27" t="s">
        <v>82</v>
      </c>
      <c r="B77" s="78"/>
      <c r="C77" s="78"/>
      <c r="E77" s="36">
        <v>0</v>
      </c>
      <c r="F77" s="37"/>
      <c r="H77" s="4">
        <v>0</v>
      </c>
      <c r="I77" s="6">
        <v>0</v>
      </c>
      <c r="J77" s="35"/>
      <c r="K77" s="6"/>
      <c r="L77" s="6"/>
      <c r="M77" s="3"/>
      <c r="N77" s="33"/>
      <c r="O77" s="6"/>
    </row>
    <row r="78" spans="1:16" x14ac:dyDescent="1.35">
      <c r="A78" s="22" t="s">
        <v>83</v>
      </c>
      <c r="B78" s="22"/>
      <c r="C78" s="22"/>
      <c r="D78" s="42">
        <f>D79+D80</f>
        <v>0</v>
      </c>
      <c r="E78" s="42">
        <f>E79+E80</f>
        <v>0</v>
      </c>
      <c r="F78" s="42">
        <f>F79+F80</f>
        <v>0</v>
      </c>
      <c r="G78" s="25">
        <f>G79+G80</f>
        <v>0</v>
      </c>
      <c r="K78" s="6"/>
      <c r="L78" s="6"/>
      <c r="M78" s="3"/>
      <c r="N78" s="33"/>
      <c r="O78" s="6"/>
    </row>
    <row r="79" spans="1:16" ht="184.5" x14ac:dyDescent="1.35">
      <c r="A79" s="27" t="s">
        <v>84</v>
      </c>
      <c r="B79" s="27"/>
      <c r="C79" s="27"/>
      <c r="D79" s="29">
        <f>SUM(E79:P79)</f>
        <v>0</v>
      </c>
      <c r="E79" s="36">
        <v>0</v>
      </c>
      <c r="F79" s="37">
        <v>0</v>
      </c>
      <c r="H79" s="5">
        <v>0</v>
      </c>
      <c r="I79" s="34">
        <v>0</v>
      </c>
      <c r="J79" s="35"/>
      <c r="K79" s="34"/>
      <c r="L79" s="34"/>
      <c r="M79" s="3"/>
      <c r="N79" s="33"/>
      <c r="O79" s="34"/>
    </row>
    <row r="80" spans="1:16" ht="184.5" x14ac:dyDescent="1.35">
      <c r="A80" s="27" t="s">
        <v>85</v>
      </c>
      <c r="B80" s="27"/>
      <c r="C80" s="27"/>
      <c r="E80" s="36">
        <v>0</v>
      </c>
      <c r="F80" s="37">
        <v>0</v>
      </c>
      <c r="H80" s="4">
        <v>0</v>
      </c>
      <c r="I80" s="6">
        <v>0</v>
      </c>
      <c r="K80" s="6"/>
      <c r="L80" s="6"/>
      <c r="M80" s="3"/>
      <c r="N80" s="33"/>
      <c r="O80" s="6"/>
    </row>
    <row r="81" spans="1:16" ht="184.5" x14ac:dyDescent="1.35">
      <c r="A81" s="22" t="s">
        <v>86</v>
      </c>
      <c r="B81" s="22"/>
      <c r="C81" s="22"/>
      <c r="D81" s="42">
        <f>D82</f>
        <v>0</v>
      </c>
      <c r="E81" s="42">
        <f>E82</f>
        <v>0</v>
      </c>
      <c r="F81" s="42">
        <f>F82</f>
        <v>0</v>
      </c>
      <c r="G81" s="25">
        <f>G82</f>
        <v>0</v>
      </c>
      <c r="K81" s="6"/>
      <c r="L81" s="6"/>
      <c r="M81" s="3"/>
      <c r="N81" s="33"/>
      <c r="O81" s="6"/>
    </row>
    <row r="82" spans="1:16" ht="184.5" x14ac:dyDescent="1.35">
      <c r="A82" s="27" t="s">
        <v>87</v>
      </c>
      <c r="B82" s="27"/>
      <c r="C82" s="27"/>
      <c r="E82" s="36">
        <v>0</v>
      </c>
      <c r="F82" s="37">
        <v>0</v>
      </c>
      <c r="H82" s="4">
        <v>0</v>
      </c>
      <c r="I82" s="6">
        <v>0</v>
      </c>
      <c r="K82" s="6"/>
      <c r="L82" s="6"/>
      <c r="M82" s="3"/>
      <c r="N82" s="33"/>
      <c r="O82" s="6"/>
    </row>
    <row r="83" spans="1:16" s="6" customFormat="1" ht="184.5" x14ac:dyDescent="1.35">
      <c r="A83" s="65" t="s">
        <v>88</v>
      </c>
      <c r="B83" s="65"/>
      <c r="C83" s="65"/>
      <c r="D83" s="79">
        <f>D75+D78+D81</f>
        <v>0</v>
      </c>
      <c r="E83" s="79">
        <f>E75+E78+E81</f>
        <v>0</v>
      </c>
      <c r="F83" s="79">
        <f>F75+F78+F81</f>
        <v>0</v>
      </c>
      <c r="G83" s="80">
        <f>G75+G78+G81</f>
        <v>0</v>
      </c>
      <c r="H83" s="67">
        <f>SUM(H74:H82)</f>
        <v>0</v>
      </c>
      <c r="I83" s="67">
        <f>SUM(I74:I82)</f>
        <v>0</v>
      </c>
      <c r="J83" s="69"/>
      <c r="K83" s="69"/>
      <c r="L83" s="69"/>
      <c r="M83" s="70"/>
      <c r="N83" s="71"/>
      <c r="O83" s="69"/>
      <c r="P83" s="69"/>
    </row>
    <row r="84" spans="1:16" x14ac:dyDescent="1.35">
      <c r="A84" s="81"/>
      <c r="B84" s="81"/>
      <c r="C84" s="81"/>
      <c r="K84" s="6"/>
      <c r="L84" s="6"/>
      <c r="M84" s="3"/>
      <c r="N84" s="33"/>
      <c r="O84" s="6"/>
    </row>
    <row r="85" spans="1:16" s="6" customFormat="1" ht="184.5" x14ac:dyDescent="1.35">
      <c r="A85" s="65" t="s">
        <v>89</v>
      </c>
      <c r="B85" s="82">
        <f>B72+B83</f>
        <v>306979786</v>
      </c>
      <c r="C85" s="82">
        <f>C72+C83</f>
        <v>43864482.300000004</v>
      </c>
      <c r="D85" s="83">
        <f t="shared" ref="D85:I85" si="10">SUM(D83,D72)</f>
        <v>232939541.11000001</v>
      </c>
      <c r="E85" s="84">
        <f t="shared" si="10"/>
        <v>16307764.189999999</v>
      </c>
      <c r="F85" s="85">
        <f t="shared" si="10"/>
        <v>36725207.93</v>
      </c>
      <c r="G85" s="85">
        <f t="shared" si="10"/>
        <v>19170458.779999997</v>
      </c>
      <c r="H85" s="85">
        <f t="shared" si="10"/>
        <v>37150661.510000005</v>
      </c>
      <c r="I85" s="85">
        <f t="shared" si="10"/>
        <v>144943985.93000001</v>
      </c>
      <c r="J85" s="86">
        <f t="shared" ref="J85:P85" si="11">SUM(J83,J72)</f>
        <v>31515456.600000001</v>
      </c>
      <c r="K85" s="86">
        <f t="shared" si="11"/>
        <v>19704862.350000001</v>
      </c>
      <c r="L85" s="86">
        <f t="shared" si="11"/>
        <v>24526397.379999988</v>
      </c>
      <c r="M85" s="87">
        <f t="shared" si="11"/>
        <v>24758224.93999999</v>
      </c>
      <c r="N85" s="88">
        <f t="shared" si="11"/>
        <v>25485610.310000025</v>
      </c>
      <c r="O85" s="87">
        <f t="shared" si="11"/>
        <v>0</v>
      </c>
      <c r="P85" s="86">
        <f t="shared" si="11"/>
        <v>0</v>
      </c>
    </row>
    <row r="86" spans="1:16" x14ac:dyDescent="1.35">
      <c r="K86" s="6"/>
      <c r="L86" s="6"/>
      <c r="M86" s="3"/>
      <c r="N86" s="33"/>
      <c r="O86" s="6"/>
    </row>
    <row r="87" spans="1:16" ht="110.25" x14ac:dyDescent="2.0499999999999998">
      <c r="A87" s="89" t="s">
        <v>96</v>
      </c>
      <c r="C87" s="90"/>
      <c r="K87" s="6"/>
      <c r="L87" s="6"/>
      <c r="M87" s="3"/>
      <c r="N87" s="33"/>
      <c r="O87" s="6"/>
    </row>
    <row r="88" spans="1:16" ht="110.25" x14ac:dyDescent="2.0499999999999998">
      <c r="A88" s="91" t="s">
        <v>98</v>
      </c>
      <c r="D88" s="30"/>
      <c r="K88" s="6"/>
      <c r="L88" s="6"/>
      <c r="M88" s="3"/>
      <c r="N88" s="33"/>
      <c r="O88" s="6"/>
    </row>
    <row r="89" spans="1:16" ht="93" x14ac:dyDescent="1.35">
      <c r="A89" s="92"/>
      <c r="D89" s="30"/>
      <c r="K89" s="6"/>
      <c r="L89" s="6"/>
      <c r="M89" s="3"/>
      <c r="N89" s="33"/>
      <c r="O89" s="6"/>
    </row>
    <row r="90" spans="1:16" ht="93" x14ac:dyDescent="1.35">
      <c r="A90" s="93" t="s">
        <v>99</v>
      </c>
      <c r="B90" s="93"/>
      <c r="C90" s="93"/>
      <c r="D90" s="93"/>
      <c r="E90" s="93"/>
      <c r="F90" s="93"/>
      <c r="K90" s="6"/>
      <c r="L90" s="6"/>
      <c r="M90" s="3"/>
      <c r="N90" s="33"/>
      <c r="O90" s="6"/>
    </row>
    <row r="91" spans="1:16" ht="93" x14ac:dyDescent="1.35">
      <c r="A91" s="94"/>
      <c r="B91" s="94"/>
      <c r="C91" s="94"/>
      <c r="D91" s="94"/>
      <c r="K91" s="6"/>
      <c r="L91" s="6"/>
      <c r="M91" s="3"/>
      <c r="N91" s="33"/>
      <c r="O91" s="6"/>
    </row>
    <row r="92" spans="1:16" ht="93" x14ac:dyDescent="1.35">
      <c r="A92" s="94" t="s">
        <v>100</v>
      </c>
      <c r="B92" s="94"/>
      <c r="C92" s="94"/>
      <c r="D92" s="94"/>
      <c r="E92" s="94"/>
      <c r="F92" s="94"/>
      <c r="K92" s="6"/>
      <c r="L92" s="6"/>
      <c r="M92" s="3"/>
      <c r="N92" s="33"/>
      <c r="O92" s="6"/>
    </row>
    <row r="93" spans="1:16" ht="93" x14ac:dyDescent="1.35">
      <c r="A93" s="95"/>
      <c r="B93" s="95"/>
      <c r="C93" s="95"/>
      <c r="D93" s="95"/>
      <c r="E93" s="95"/>
      <c r="F93" s="95"/>
      <c r="K93" s="6"/>
      <c r="L93" s="6"/>
      <c r="M93" s="3"/>
      <c r="N93" s="33"/>
      <c r="O93" s="6"/>
    </row>
    <row r="94" spans="1:16" ht="93" x14ac:dyDescent="1.35">
      <c r="A94" s="95"/>
      <c r="B94" s="95"/>
      <c r="C94" s="95"/>
      <c r="D94" s="96"/>
      <c r="K94" s="6"/>
      <c r="L94" s="6"/>
      <c r="M94" s="3"/>
      <c r="N94" s="33"/>
      <c r="O94" s="6"/>
    </row>
    <row r="95" spans="1:16" ht="93" x14ac:dyDescent="1.35">
      <c r="A95" s="95"/>
      <c r="B95" s="95"/>
      <c r="C95" s="95"/>
      <c r="D95" s="96"/>
      <c r="K95" s="6"/>
      <c r="L95" s="6"/>
      <c r="M95" s="3"/>
      <c r="N95" s="33"/>
      <c r="O95" s="6"/>
    </row>
    <row r="96" spans="1:16" ht="93" x14ac:dyDescent="1.35">
      <c r="A96" s="95"/>
      <c r="B96" s="95"/>
      <c r="C96" s="95"/>
      <c r="D96" s="97"/>
      <c r="K96" s="6"/>
      <c r="L96" s="6"/>
      <c r="M96" s="3"/>
      <c r="N96" s="33"/>
      <c r="O96" s="6"/>
    </row>
    <row r="97" spans="1:15" ht="93" x14ac:dyDescent="1.35">
      <c r="A97" s="1" t="s">
        <v>97</v>
      </c>
      <c r="B97" s="1"/>
      <c r="C97" s="1"/>
      <c r="D97" s="1"/>
      <c r="E97" s="1"/>
      <c r="F97" s="1"/>
      <c r="G97" s="1"/>
      <c r="H97" s="1"/>
      <c r="I97" s="1"/>
      <c r="J97" s="1"/>
      <c r="K97" s="6"/>
      <c r="L97" s="6"/>
      <c r="M97" s="3"/>
      <c r="N97" s="33"/>
      <c r="O97" s="6"/>
    </row>
    <row r="98" spans="1:15" ht="110.25" x14ac:dyDescent="2.0499999999999998">
      <c r="A98" s="98" t="s">
        <v>91</v>
      </c>
      <c r="B98" s="98"/>
      <c r="C98" s="98"/>
      <c r="D98" s="98"/>
      <c r="E98" s="98"/>
      <c r="F98" s="98"/>
      <c r="G98" s="98"/>
      <c r="H98" s="98"/>
      <c r="I98" s="98"/>
      <c r="J98" s="98"/>
      <c r="K98" s="6"/>
      <c r="L98" s="6"/>
      <c r="M98" s="3"/>
      <c r="N98" s="33"/>
      <c r="O98" s="6"/>
    </row>
    <row r="99" spans="1:15" x14ac:dyDescent="1.35">
      <c r="K99" s="6"/>
      <c r="L99" s="6"/>
      <c r="M99" s="3"/>
      <c r="N99" s="33"/>
      <c r="O99" s="6"/>
    </row>
    <row r="100" spans="1:15" x14ac:dyDescent="1.35">
      <c r="K100" s="6"/>
      <c r="L100" s="6"/>
      <c r="M100" s="3"/>
      <c r="N100" s="33"/>
      <c r="O100" s="6"/>
    </row>
    <row r="110" spans="1:15" x14ac:dyDescent="1.35">
      <c r="D110" s="42" t="s">
        <v>90</v>
      </c>
      <c r="E110" s="99"/>
      <c r="J110" s="35"/>
    </row>
    <row r="111" spans="1:15" x14ac:dyDescent="1.35">
      <c r="D111" s="42"/>
      <c r="E111" s="99"/>
      <c r="J111" s="35"/>
    </row>
    <row r="112" spans="1:15" x14ac:dyDescent="1.35">
      <c r="D112" s="42" t="s">
        <v>93</v>
      </c>
      <c r="E112" s="99"/>
    </row>
    <row r="113" spans="1:14" x14ac:dyDescent="1.35">
      <c r="D113" s="42" t="s">
        <v>91</v>
      </c>
      <c r="E113" s="99"/>
    </row>
    <row r="115" spans="1:14" x14ac:dyDescent="1.35">
      <c r="J115" s="35">
        <f>D85-81234027.92</f>
        <v>151705513.19</v>
      </c>
    </row>
    <row r="116" spans="1:14" x14ac:dyDescent="1.35">
      <c r="D116" s="3">
        <f>D85-158182464.6</f>
        <v>74757076.51000002</v>
      </c>
      <c r="E116" s="30">
        <f>D85-158036473.82</f>
        <v>74903067.290000021</v>
      </c>
      <c r="N116" s="102">
        <f>N85-17012173.68</f>
        <v>8473436.630000025</v>
      </c>
    </row>
    <row r="117" spans="1:14" x14ac:dyDescent="1.35">
      <c r="A117" s="103"/>
      <c r="B117" s="103"/>
      <c r="C117" s="103"/>
    </row>
    <row r="118" spans="1:14" x14ac:dyDescent="1.35">
      <c r="D118" s="3">
        <f>D85-175255388.5</f>
        <v>57684152.610000014</v>
      </c>
      <c r="G118" s="5">
        <f>D85-175255388.5</f>
        <v>57684152.610000014</v>
      </c>
    </row>
    <row r="120" spans="1:14" x14ac:dyDescent="1.35">
      <c r="D120" s="3">
        <f>D85-205409195.41</f>
        <v>27530345.700000018</v>
      </c>
    </row>
    <row r="121" spans="1:14" x14ac:dyDescent="1.35">
      <c r="H121" s="30">
        <f>D85-175255388.5</f>
        <v>57684152.610000014</v>
      </c>
    </row>
    <row r="123" spans="1:14" x14ac:dyDescent="1.35">
      <c r="E123" s="35">
        <f>122442431.78-D85</f>
        <v>-110497109.33000001</v>
      </c>
    </row>
  </sheetData>
  <mergeCells count="5">
    <mergeCell ref="A91:D91"/>
    <mergeCell ref="A90:F90"/>
    <mergeCell ref="A92:F92"/>
    <mergeCell ref="A97:J97"/>
    <mergeCell ref="A98:J98"/>
  </mergeCells>
  <pageMargins left="0" right="0" top="1.3385826771653544" bottom="0.55118110236220474" header="0.31496062992125984" footer="0.31496062992125984"/>
  <pageSetup paperSize="5" scale="10" orientation="landscape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4" manualBreakCount="4">
    <brk id="31" max="13" man="1"/>
    <brk id="41" max="13" man="1"/>
    <brk id="62" max="13" man="1"/>
    <brk id="7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2023-11-01T16:04:53Z</cp:lastPrinted>
  <dcterms:created xsi:type="dcterms:W3CDTF">2017-12-09T22:11:36Z</dcterms:created>
  <dcterms:modified xsi:type="dcterms:W3CDTF">2023-11-01T16:06:01Z</dcterms:modified>
</cp:coreProperties>
</file>