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6930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'!$A$1:$H$168</definedName>
    <definedName name="_xlnm.Print_Titles" localSheetId="0">'Balance General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D151" i="1"/>
  <c r="D148" i="1"/>
  <c r="D145" i="1"/>
  <c r="D144" i="1"/>
  <c r="D141" i="1"/>
  <c r="D140" i="1"/>
  <c r="E139" i="1" s="1"/>
  <c r="D137" i="1"/>
  <c r="D136" i="1"/>
  <c r="D135" i="1"/>
  <c r="D133" i="1"/>
  <c r="D132" i="1"/>
  <c r="D131" i="1"/>
  <c r="D130" i="1"/>
  <c r="D129" i="1"/>
  <c r="D128" i="1"/>
  <c r="D126" i="1" s="1"/>
  <c r="D125" i="1" s="1"/>
  <c r="D124" i="1" s="1"/>
  <c r="D118" i="1" s="1"/>
  <c r="E117" i="1" s="1"/>
  <c r="D127" i="1"/>
  <c r="D121" i="1"/>
  <c r="D120" i="1"/>
  <c r="D119" i="1"/>
  <c r="D115" i="1"/>
  <c r="D111" i="1"/>
  <c r="D110" i="1"/>
  <c r="E109" i="1"/>
  <c r="D107" i="1"/>
  <c r="D106" i="1"/>
  <c r="D105" i="1"/>
  <c r="D104" i="1"/>
  <c r="D103" i="1"/>
  <c r="D91" i="1" s="1"/>
  <c r="D102" i="1"/>
  <c r="D101" i="1"/>
  <c r="D100" i="1"/>
  <c r="D99" i="1"/>
  <c r="D98" i="1"/>
  <c r="D97" i="1"/>
  <c r="D96" i="1"/>
  <c r="D95" i="1"/>
  <c r="D94" i="1"/>
  <c r="D93" i="1"/>
  <c r="D92" i="1"/>
  <c r="D88" i="1"/>
  <c r="D86" i="1"/>
  <c r="D85" i="1"/>
  <c r="D84" i="1"/>
  <c r="D83" i="1"/>
  <c r="D82" i="1"/>
  <c r="D81" i="1"/>
  <c r="D80" i="1"/>
  <c r="D77" i="1"/>
  <c r="D76" i="1"/>
  <c r="D75" i="1"/>
  <c r="D74" i="1"/>
  <c r="D72" i="1"/>
  <c r="D71" i="1"/>
  <c r="D63" i="1"/>
  <c r="D61" i="1"/>
  <c r="D59" i="1"/>
  <c r="D57" i="1"/>
  <c r="D56" i="1"/>
  <c r="E55" i="1"/>
  <c r="D49" i="1"/>
  <c r="D48" i="1"/>
  <c r="D47" i="1"/>
  <c r="D46" i="1"/>
  <c r="D45" i="1" s="1"/>
  <c r="E28" i="1" s="1"/>
  <c r="D29" i="1"/>
  <c r="D26" i="1"/>
  <c r="D25" i="1"/>
  <c r="D24" i="1"/>
  <c r="D23" i="1"/>
  <c r="D22" i="1"/>
  <c r="D21" i="1"/>
  <c r="D20" i="1"/>
  <c r="D19" i="1"/>
  <c r="D17" i="1"/>
  <c r="D16" i="1"/>
  <c r="E15" i="1"/>
  <c r="D14" i="1"/>
  <c r="D13" i="1"/>
  <c r="D12" i="1"/>
  <c r="E11" i="1" s="1"/>
  <c r="E10" i="1" s="1"/>
  <c r="E9" i="1" s="1"/>
  <c r="D69" i="1" l="1"/>
  <c r="E68" i="1" s="1"/>
  <c r="E67" i="1" s="1"/>
  <c r="E8" i="1" s="1"/>
  <c r="D11" i="1"/>
</calcChain>
</file>

<file path=xl/comments1.xml><?xml version="1.0" encoding="utf-8"?>
<comments xmlns="http://schemas.openxmlformats.org/spreadsheetml/2006/main">
  <authors>
    <author>Suanny Colon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pend. Conciliar con sigef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<sst xmlns="http://schemas.openxmlformats.org/spreadsheetml/2006/main" count="262" uniqueCount="254">
  <si>
    <t xml:space="preserve">Instituto De Desarrollo y Credito Cooperativo (IDECOOP)  </t>
  </si>
  <si>
    <t>Balance General</t>
  </si>
  <si>
    <t>Al 30 de Junio 2024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</si>
  <si>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</si>
  <si>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</si>
  <si>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</si>
  <si>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</si>
  <si>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</si>
  <si>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</si>
  <si>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</si>
  <si>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</si>
  <si>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</si>
  <si>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</si>
  <si>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</si>
  <si>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</si>
  <si>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</si>
  <si>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</si>
  <si>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</si>
  <si>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</si>
  <si>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</si>
  <si>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</si>
  <si>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</si>
  <si>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</si>
  <si>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</si>
  <si>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</si>
  <si>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</si>
  <si>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</si>
  <si>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</si>
  <si>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</si>
  <si>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</si>
  <si>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</si>
  <si>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</si>
  <si>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</si>
  <si>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</si>
  <si>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</si>
  <si>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</si>
  <si>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</si>
  <si>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</si>
  <si>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</si>
  <si>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</si>
  <si>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</si>
  <si>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</si>
  <si>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</si>
  <si>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</si>
  <si>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</si>
  <si>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</si>
  <si>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</si>
  <si>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</si>
  <si>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</si>
  <si>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</si>
  <si>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</si>
  <si>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</si>
  <si>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</si>
  <si>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</si>
  <si>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</si>
  <si>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</si>
  <si>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</si>
  <si>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</si>
  <si>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</si>
  <si>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</si>
  <si>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</si>
  <si>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</si>
  <si>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</si>
  <si>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</si>
  <si>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</si>
  <si>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</si>
  <si>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</si>
  <si>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</si>
  <si>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</si>
  <si>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</si>
  <si>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</si>
  <si>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</si>
  <si>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</si>
  <si>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</si>
  <si>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</si>
  <si>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</si>
  <si>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</si>
  <si>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</si>
  <si>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</si>
  <si>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</si>
  <si>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</si>
  <si>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</si>
  <si>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</si>
  <si>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</si>
  <si>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</si>
  <si>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</si>
  <si>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</si>
  <si>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</si>
  <si>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</si>
  <si>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</si>
  <si>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</si>
  <si>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</si>
  <si>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</si>
  <si>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</si>
  <si>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</si>
  <si>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</si>
  <si>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</si>
  <si>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</si>
  <si>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</si>
  <si>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</si>
  <si>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</si>
  <si>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</si>
  <si>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</si>
  <si>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</si>
  <si>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</si>
  <si>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</si>
  <si>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</si>
  <si>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</si>
  <si>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</si>
  <si>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</si>
  <si>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</si>
  <si>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</si>
  <si>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</si>
  <si>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</si>
  <si>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</si>
  <si>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</si>
  <si>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</si>
  <si>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</si>
  <si>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</si>
  <si>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</si>
  <si>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</si>
  <si>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</si>
  <si>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</si>
  <si>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</si>
  <si>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</si>
  <si>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</si>
  <si>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</si>
  <si>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</si>
  <si>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</si>
  <si>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</si>
  <si>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</si>
  <si>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</si>
  <si>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</si>
  <si>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</si>
  <si>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</si>
  <si>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</si>
  <si>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</si>
  <si>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</si>
  <si>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</si>
  <si>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</si>
  <si>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</si>
  <si>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</si>
  <si>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</si>
  <si>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</si>
  <si>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</si>
  <si>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</si>
  <si>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</si>
  <si>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</si>
  <si>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</si>
  <si>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</si>
  <si>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</si>
  <si>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</si>
  <si>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</si>
  <si>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</si>
  <si>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</si>
  <si>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</si>
  <si>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</si>
  <si>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</si>
  <si>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</si>
  <si>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</si>
  <si>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</si>
  <si>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</si>
  <si>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</si>
  <si>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</si>
  <si>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</si>
  <si>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</si>
  <si>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</si>
  <si>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</si>
  <si>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</si>
  <si>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</si>
  <si>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</si>
  <si>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</si>
  <si>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</si>
  <si>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</si>
  <si>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</si>
  <si>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</si>
  <si>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</si>
  <si>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</si>
  <si>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</si>
  <si>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</si>
  <si>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</si>
  <si>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</si>
  <si>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</si>
  <si>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</si>
  <si>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</si>
  <si>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</si>
  <si>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</si>
  <si>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</si>
  <si>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</si>
  <si>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</si>
  <si>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</si>
  <si>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</si>
  <si>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</si>
  <si>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</si>
  <si>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</si>
  <si>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</si>
  <si>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</si>
  <si>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</si>
  <si>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</si>
  <si>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</si>
  <si>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</si>
  <si>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</si>
  <si>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</si>
  <si>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</si>
  <si>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</si>
  <si>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</si>
  <si>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</si>
  <si>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</si>
  <si>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</si>
  <si>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</si>
  <si>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</si>
  <si>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</si>
  <si>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</si>
  <si>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</si>
  <si>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</si>
  <si>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</si>
  <si>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</si>
  <si>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</si>
  <si>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</si>
  <si>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</si>
  <si>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</si>
  <si>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</si>
  <si>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</si>
  <si>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</si>
  <si>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</si>
  <si>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</si>
  <si>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</si>
  <si>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</si>
  <si>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</si>
  <si>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</si>
  <si>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</si>
  <si>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</si>
  <si>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</si>
  <si>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</si>
  <si>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</si>
  <si>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</si>
  <si>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</si>
  <si>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</si>
  <si>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</si>
  <si>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</si>
  <si>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</si>
  <si>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</si>
  <si>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</si>
  <si>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</si>
  <si>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</si>
  <si>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</si>
  <si>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>3.1.04.02.03.02</t>
  </si>
  <si>
    <t>TOTAL ACTIVOS RD$77,710,823.92</t>
  </si>
  <si>
    <t>TOTAL PASIVOS + PATRIMONIO  RD$77,710,823.92</t>
  </si>
  <si>
    <t xml:space="preserve"> Firma del Contador General</t>
  </si>
  <si>
    <t xml:space="preserve"> Firma del Director  Financiero</t>
  </si>
  <si>
    <t>ROBERTO</t>
  </si>
  <si>
    <t>_Suanny Colon_______________________</t>
  </si>
  <si>
    <t xml:space="preserve">                Licda. Maria del Carmen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</si>
</sst>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$_-;\-* #,##0.00\ _$_-;_-* &quot;-&quot;??\ _$_-;_-@_-"/>
    <numFmt numFmtId="167" formatCode="_-* #.##0.00\ _€_-;\-* #.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9"/>
      <color rgb="FF231F20"/>
      <name val="Verdana"/>
      <family val="2"/>
    </font>
    <font>
      <u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165" fontId="1" fillId="0" borderId="0" xfId="1" applyFont="1"/>
    <xf numFmtId="165" fontId="1" fillId="0" borderId="0" xfId="1" applyFont="1" applyFill="1"/>
    <xf numFmtId="0" fontId="6" fillId="0" borderId="0" xfId="0" applyFont="1" applyAlignment="1">
      <alignment vertical="center" wrapText="1"/>
    </xf>
    <xf numFmtId="0" fontId="6" fillId="0" borderId="0" xfId="0" applyFont="1"/>
    <xf numFmtId="165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5" fontId="6" fillId="0" borderId="0" xfId="1" applyFont="1" applyFill="1" applyAlignment="1">
      <alignment vertical="center" wrapText="1"/>
    </xf>
    <xf numFmtId="165" fontId="9" fillId="0" borderId="0" xfId="1" applyFont="1" applyFill="1" applyAlignment="1">
      <alignment vertical="center" wrapText="1"/>
    </xf>
    <xf numFmtId="164" fontId="4" fillId="0" borderId="0" xfId="0" applyNumberFormat="1" applyFont="1"/>
    <xf numFmtId="165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 wrapText="1"/>
    </xf>
    <xf numFmtId="164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5" fontId="10" fillId="0" borderId="0" xfId="1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9" fillId="0" borderId="0" xfId="1" applyFont="1" applyFill="1"/>
    <xf numFmtId="0" fontId="10" fillId="0" borderId="0" xfId="0" applyFont="1" applyAlignment="1">
      <alignment vertical="center" wrapText="1"/>
    </xf>
    <xf numFmtId="165" fontId="6" fillId="0" borderId="0" xfId="1" applyFont="1" applyFill="1" applyBorder="1" applyAlignment="1">
      <alignment vertical="center" wrapText="1"/>
    </xf>
    <xf numFmtId="165" fontId="0" fillId="0" borderId="0" xfId="0" applyNumberFormat="1"/>
    <xf numFmtId="165" fontId="3" fillId="0" borderId="0" xfId="1" applyFont="1" applyFill="1"/>
    <xf numFmtId="0" fontId="10" fillId="0" borderId="0" xfId="0" applyFont="1" applyAlignment="1">
      <alignment horizontal="right" vertical="center" wrapText="1"/>
    </xf>
    <xf numFmtId="165" fontId="10" fillId="0" borderId="0" xfId="1" applyFont="1" applyFill="1" applyBorder="1" applyAlignment="1">
      <alignment horizontal="right" vertical="center" wrapText="1"/>
    </xf>
    <xf numFmtId="0" fontId="13" fillId="0" borderId="0" xfId="0" applyFont="1"/>
    <xf numFmtId="165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4" fillId="0" borderId="0" xfId="1" applyFont="1" applyFill="1" applyBorder="1" applyAlignment="1">
      <alignment horizontal="center" vertical="center" wrapText="1"/>
    </xf>
    <xf numFmtId="165" fontId="4" fillId="0" borderId="0" xfId="1" applyFont="1" applyFill="1"/>
    <xf numFmtId="166" fontId="0" fillId="0" borderId="0" xfId="0" applyNumberFormat="1"/>
    <xf numFmtId="165" fontId="15" fillId="0" borderId="0" xfId="1" applyFont="1" applyFill="1" applyBorder="1" applyAlignment="1">
      <alignment horizontal="center" vertical="center" wrapText="1"/>
    </xf>
    <xf numFmtId="165" fontId="0" fillId="0" borderId="0" xfId="1" applyFont="1"/>
    <xf numFmtId="165" fontId="2" fillId="0" borderId="0" xfId="1" applyFont="1" applyFill="1"/>
    <xf numFmtId="167" fontId="0" fillId="0" borderId="0" xfId="0" applyNumberFormat="1"/>
    <xf numFmtId="165" fontId="6" fillId="0" borderId="0" xfId="1" applyFont="1"/>
    <xf numFmtId="0" fontId="11" fillId="0" borderId="0" xfId="0" applyFont="1"/>
    <xf numFmtId="165" fontId="16" fillId="0" borderId="0" xfId="1" applyFont="1" applyFill="1"/>
    <xf numFmtId="164" fontId="17" fillId="0" borderId="0" xfId="0" applyNumberFormat="1" applyFont="1"/>
    <xf numFmtId="0" fontId="3" fillId="0" borderId="0" xfId="0" applyFont="1"/>
    <xf numFmtId="165" fontId="18" fillId="0" borderId="0" xfId="1" applyFont="1" applyFill="1" applyAlignment="1">
      <alignment horizontal="center"/>
    </xf>
    <xf numFmtId="0" fontId="17" fillId="0" borderId="0" xfId="0" applyFont="1"/>
    <xf numFmtId="165" fontId="17" fillId="0" borderId="0" xfId="1" applyFont="1" applyFill="1"/>
    <xf numFmtId="165" fontId="3" fillId="0" borderId="0" xfId="1" applyFont="1" applyFill="1" applyAlignment="1">
      <alignment horizontal="center"/>
    </xf>
    <xf numFmtId="165" fontId="19" fillId="0" borderId="0" xfId="1" applyFont="1" applyFill="1" applyBorder="1" applyAlignment="1">
      <alignment horizontal="center" vertical="center" wrapText="1"/>
    </xf>
    <xf numFmtId="165" fontId="0" fillId="0" borderId="0" xfId="1" applyFont="1" applyFill="1"/>
    <xf numFmtId="165" fontId="20" fillId="0" borderId="0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165" fontId="4" fillId="0" borderId="0" xfId="0" applyNumberFormat="1" applyFont="1"/>
    <xf numFmtId="0" fontId="21" fillId="0" borderId="0" xfId="0" applyFont="1"/>
    <xf numFmtId="165" fontId="4" fillId="0" borderId="5" xfId="0" applyNumberFormat="1" applyFont="1" applyBorder="1"/>
    <xf numFmtId="0" fontId="4" fillId="0" borderId="5" xfId="0" applyFont="1" applyBorder="1"/>
    <xf numFmtId="0" fontId="17" fillId="0" borderId="0" xfId="0" applyFont="1" applyAlignment="1">
      <alignment horizontal="left"/>
    </xf>
    <xf numFmtId="165" fontId="17" fillId="0" borderId="0" xfId="0" applyNumberFormat="1" applyFont="1"/>
    <xf numFmtId="165" fontId="17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9" fillId="0" borderId="2" xfId="1" applyFont="1" applyFill="1" applyBorder="1" applyAlignment="1">
      <alignment horizontal="left"/>
    </xf>
    <xf numFmtId="165" fontId="9" fillId="0" borderId="3" xfId="1" applyFont="1" applyFill="1" applyBorder="1" applyAlignment="1">
      <alignment horizontal="left"/>
    </xf>
    <xf numFmtId="165" fontId="9" fillId="0" borderId="4" xfId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PSCANS\Balance%20General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stado resultado mes junio"/>
      <sheetName val="Estado resultado acumulado "/>
      <sheetName val="Salidas Almacen "/>
      <sheetName val="INVENTARIO Junio "/>
      <sheetName val="Ajuste inventario  "/>
      <sheetName val="Depreciaciones "/>
      <sheetName val="ED  corregida"/>
      <sheetName val="deprec. edificio"/>
      <sheetName val="CONCILAICION ACT. FIJO"/>
      <sheetName val="cuadre activos fijos"/>
      <sheetName val="Hoja1"/>
      <sheetName val="Caja Chica 2024"/>
    </sheetNames>
    <sheetDataSet>
      <sheetData sheetId="0"/>
      <sheetData sheetId="1"/>
      <sheetData sheetId="2"/>
      <sheetData sheetId="3">
        <row r="194">
          <cell r="F194">
            <v>3474029.9300000072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3:O425"/>
  <sheetViews>
    <sheetView tabSelected="1" view="pageBreakPreview" topLeftCell="A151" zoomScaleNormal="100" zoomScaleSheetLayoutView="100" workbookViewId="0">
      <selection activeCell="E167" sqref="E167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0.85546875" style="35" customWidth="1"/>
    <col min="5" max="5" width="19.28515625" style="1" customWidth="1"/>
    <col min="6" max="6" width="2.5703125" style="1" customWidth="1"/>
    <col min="7" max="7" width="3.5703125" style="1" customWidth="1"/>
    <col min="8" max="8" width="10.5703125" style="1" customWidth="1"/>
    <col min="9" max="9" width="16.85546875" style="1" customWidth="1"/>
    <col min="10" max="10" width="19.5703125" customWidth="1"/>
    <col min="11" max="11" width="18.140625" bestFit="1" customWidth="1"/>
    <col min="12" max="12" width="20.28515625" style="2" customWidth="1"/>
    <col min="13" max="13" width="18" customWidth="1"/>
    <col min="14" max="256" width="11.42578125" customWidth="1"/>
  </cols>
  <sheetData>
    <row r="3" spans="1:12" x14ac:dyDescent="0.25">
      <c r="B3" s="61" t="s">
        <v>0</v>
      </c>
      <c r="C3" s="61"/>
      <c r="D3" s="61"/>
      <c r="E3" s="61"/>
    </row>
    <row r="4" spans="1:12" x14ac:dyDescent="0.25">
      <c r="B4" s="61" t="s">
        <v>1</v>
      </c>
      <c r="C4" s="61"/>
      <c r="D4" s="61"/>
      <c r="E4" s="61"/>
      <c r="L4" s="3"/>
    </row>
    <row r="5" spans="1:12" x14ac:dyDescent="0.25">
      <c r="B5" s="61" t="s">
        <v>2</v>
      </c>
      <c r="C5" s="61"/>
      <c r="D5" s="61"/>
      <c r="E5" s="61"/>
      <c r="L5" s="3"/>
    </row>
    <row r="6" spans="1:12" x14ac:dyDescent="0.25">
      <c r="B6" s="61" t="s">
        <v>3</v>
      </c>
      <c r="C6" s="61"/>
      <c r="D6" s="61"/>
      <c r="E6" s="61"/>
      <c r="L6" s="3"/>
    </row>
    <row r="7" spans="1:12" x14ac:dyDescent="0.25">
      <c r="B7" s="4"/>
      <c r="C7" s="5"/>
      <c r="D7" s="6"/>
      <c r="E7" s="7"/>
      <c r="L7" s="3"/>
    </row>
    <row r="8" spans="1:12" x14ac:dyDescent="0.25">
      <c r="A8" s="8">
        <v>1</v>
      </c>
      <c r="B8" s="9" t="s">
        <v>4</v>
      </c>
      <c r="C8" s="4"/>
      <c r="D8" s="10"/>
      <c r="E8" s="11">
        <f>E9+E67</f>
        <v>77710823.920000002</v>
      </c>
      <c r="H8" s="12"/>
      <c r="I8" s="12"/>
      <c r="L8" s="3"/>
    </row>
    <row r="9" spans="1:12" x14ac:dyDescent="0.25">
      <c r="A9" s="8">
        <v>1.1000000000000001</v>
      </c>
      <c r="B9" s="9" t="s">
        <v>5</v>
      </c>
      <c r="C9" s="4"/>
      <c r="D9" s="6"/>
      <c r="E9" s="13">
        <f>E10</f>
        <v>23951212.130000006</v>
      </c>
      <c r="G9" s="12"/>
      <c r="H9" s="12"/>
      <c r="I9" s="12"/>
      <c r="L9" s="3"/>
    </row>
    <row r="10" spans="1:12" x14ac:dyDescent="0.25">
      <c r="A10" s="14" t="s">
        <v>6</v>
      </c>
      <c r="B10" s="15" t="s">
        <v>7</v>
      </c>
      <c r="C10" s="16"/>
      <c r="D10" s="6"/>
      <c r="E10" s="17">
        <f>E11+E15+E28+E55</f>
        <v>23951212.130000006</v>
      </c>
      <c r="L10" s="3"/>
    </row>
    <row r="11" spans="1:12" x14ac:dyDescent="0.25">
      <c r="A11" s="14" t="s">
        <v>8</v>
      </c>
      <c r="B11" s="15" t="s">
        <v>9</v>
      </c>
      <c r="C11" s="5"/>
      <c r="D11" s="17">
        <f>D12</f>
        <v>1994.9000000000015</v>
      </c>
      <c r="E11" s="17">
        <f>+D12</f>
        <v>1994.9000000000015</v>
      </c>
      <c r="K11" s="18"/>
      <c r="L11" s="3"/>
    </row>
    <row r="12" spans="1:12" x14ac:dyDescent="0.25">
      <c r="A12" s="19" t="s">
        <v>10</v>
      </c>
      <c r="B12" s="20" t="s">
        <v>11</v>
      </c>
      <c r="C12" s="5"/>
      <c r="D12" s="21">
        <f>SUM(D13:D14)</f>
        <v>1994.9000000000015</v>
      </c>
      <c r="E12" s="21"/>
      <c r="L12" s="3"/>
    </row>
    <row r="13" spans="1:12" x14ac:dyDescent="0.25">
      <c r="A13" s="19" t="s">
        <v>12</v>
      </c>
      <c r="B13" s="20" t="s">
        <v>13</v>
      </c>
      <c r="C13" s="5"/>
      <c r="D13" s="21">
        <f>20545.49+269639.53-20545.49+92521-269639.53+7103-92521-7103</f>
        <v>0</v>
      </c>
      <c r="E13" s="21"/>
      <c r="L13" s="3"/>
    </row>
    <row r="14" spans="1:12" x14ac:dyDescent="0.25">
      <c r="A14" s="19" t="s">
        <v>14</v>
      </c>
      <c r="B14" s="20" t="s">
        <v>15</v>
      </c>
      <c r="C14" s="22"/>
      <c r="D14" s="21">
        <f>50000-48005.1</f>
        <v>1994.9000000000015</v>
      </c>
      <c r="E14" s="21"/>
      <c r="L14" s="3"/>
    </row>
    <row r="15" spans="1:12" ht="18.75" customHeight="1" x14ac:dyDescent="0.25">
      <c r="A15" s="14" t="s">
        <v>16</v>
      </c>
      <c r="B15" s="9" t="s">
        <v>17</v>
      </c>
      <c r="C15" s="23"/>
      <c r="D15" s="6"/>
      <c r="E15" s="17">
        <f>D16+D21</f>
        <v>12728730.420000004</v>
      </c>
      <c r="H15" s="12"/>
      <c r="L15" s="3"/>
    </row>
    <row r="16" spans="1:12" ht="18.75" customHeight="1" x14ac:dyDescent="0.25">
      <c r="A16" s="14" t="s">
        <v>18</v>
      </c>
      <c r="B16" s="9" t="s">
        <v>19</v>
      </c>
      <c r="C16" s="23"/>
      <c r="D16" s="24">
        <f>D17</f>
        <v>10850973.320000004</v>
      </c>
      <c r="E16" s="17"/>
      <c r="H16" s="12"/>
      <c r="L16" s="3"/>
    </row>
    <row r="17" spans="1:12" ht="23.25" customHeight="1" x14ac:dyDescent="0.25">
      <c r="A17" s="19" t="s">
        <v>20</v>
      </c>
      <c r="B17" s="9" t="s">
        <v>21</v>
      </c>
      <c r="C17" s="23"/>
      <c r="D17" s="24">
        <f>SUM(D18:D20)</f>
        <v>10850973.320000004</v>
      </c>
      <c r="E17" s="17"/>
      <c r="H17" s="12"/>
      <c r="L17" s="3"/>
    </row>
    <row r="18" spans="1:12" ht="33.75" customHeight="1" x14ac:dyDescent="0.25">
      <c r="A18" s="19" t="s">
        <v>22</v>
      </c>
      <c r="B18" s="25" t="s">
        <v>23</v>
      </c>
      <c r="C18" s="23"/>
      <c r="D18" s="6">
        <v>50000</v>
      </c>
      <c r="E18" s="17"/>
      <c r="H18" s="12"/>
      <c r="J18" s="18"/>
      <c r="K18" s="18"/>
      <c r="L18" s="3"/>
    </row>
    <row r="19" spans="1:12" ht="27" customHeight="1" x14ac:dyDescent="0.25">
      <c r="A19" s="19" t="s">
        <v>24</v>
      </c>
      <c r="B19" s="25" t="s">
        <v>25</v>
      </c>
      <c r="C19" s="23"/>
      <c r="D19" s="26">
        <f>17870037.04+2500-20775418.72+24305074.23-25414673.83+25375634.67+34254.36+94046-32058177.42+25375634.67-29440870.05+25375634.67</f>
        <v>10743675.620000005</v>
      </c>
      <c r="E19" s="17"/>
      <c r="H19" s="12"/>
      <c r="L19" s="3"/>
    </row>
    <row r="20" spans="1:12" ht="27" customHeight="1" x14ac:dyDescent="0.25">
      <c r="A20" s="19" t="s">
        <v>26</v>
      </c>
      <c r="B20" s="25" t="s">
        <v>27</v>
      </c>
      <c r="C20" s="23"/>
      <c r="D20" s="6">
        <f>745964.14+854.91+12797.47+8263.31+29351.73-535533.86+600-205000</f>
        <v>57297.70000000007</v>
      </c>
      <c r="E20" s="17"/>
      <c r="H20" s="12"/>
      <c r="I20" s="12"/>
      <c r="J20" s="27"/>
      <c r="L20" s="3"/>
    </row>
    <row r="21" spans="1:12" x14ac:dyDescent="0.25">
      <c r="A21" s="14" t="s">
        <v>28</v>
      </c>
      <c r="B21" s="9" t="s">
        <v>29</v>
      </c>
      <c r="C21" s="23"/>
      <c r="D21" s="24">
        <f>D22+D24</f>
        <v>1877757.1000000003</v>
      </c>
      <c r="E21" s="5"/>
      <c r="K21" s="18"/>
      <c r="L21" s="3"/>
    </row>
    <row r="22" spans="1:12" x14ac:dyDescent="0.25">
      <c r="A22" s="19" t="s">
        <v>30</v>
      </c>
      <c r="B22" s="9" t="s">
        <v>31</v>
      </c>
      <c r="C22" s="23"/>
      <c r="D22" s="24">
        <f>D23</f>
        <v>750801.90000000014</v>
      </c>
      <c r="E22" s="5"/>
      <c r="J22" s="27"/>
      <c r="K22" s="18"/>
      <c r="L22" s="3"/>
    </row>
    <row r="23" spans="1:12" x14ac:dyDescent="0.25">
      <c r="A23" s="19" t="s">
        <v>32</v>
      </c>
      <c r="B23" s="20" t="s">
        <v>33</v>
      </c>
      <c r="C23" s="23"/>
      <c r="D23" s="21">
        <f>1375982.02-1000.2-372154.1-251500.82-175-175-175</f>
        <v>750801.90000000014</v>
      </c>
      <c r="E23" s="5"/>
      <c r="K23" s="18"/>
      <c r="L23" s="28"/>
    </row>
    <row r="24" spans="1:12" ht="25.5" x14ac:dyDescent="0.25">
      <c r="A24" s="19" t="s">
        <v>34</v>
      </c>
      <c r="B24" s="9" t="s">
        <v>35</v>
      </c>
      <c r="C24" s="23"/>
      <c r="D24" s="24">
        <f>D25+D26</f>
        <v>1126955.2000000002</v>
      </c>
      <c r="E24" s="5"/>
      <c r="K24" s="18"/>
      <c r="L24" s="3"/>
    </row>
    <row r="25" spans="1:12" x14ac:dyDescent="0.25">
      <c r="A25" s="19" t="s">
        <v>36</v>
      </c>
      <c r="B25" s="20" t="s">
        <v>37</v>
      </c>
      <c r="C25" s="29"/>
      <c r="D25" s="30">
        <f>25926.88-325-325-325-325</f>
        <v>24626.880000000001</v>
      </c>
      <c r="E25" s="5"/>
      <c r="K25" s="18"/>
      <c r="L25" s="3"/>
    </row>
    <row r="26" spans="1:12" x14ac:dyDescent="0.25">
      <c r="A26" s="19" t="s">
        <v>38</v>
      </c>
      <c r="B26" s="20" t="s">
        <v>39</v>
      </c>
      <c r="C26" s="29"/>
      <c r="D26" s="30">
        <f>595296.4+372861.22+20545.49-995.33+200000-545809.51+251500.82+470847.62+269639.53-769.69-337565.49+201754.89+92521-475.8-247242.19+414+136957.52+7103-1377.72-382159.94-717.5</f>
        <v>1102328.3200000003</v>
      </c>
      <c r="E26" s="5"/>
      <c r="K26" s="18"/>
      <c r="L26" s="3"/>
    </row>
    <row r="27" spans="1:12" x14ac:dyDescent="0.25">
      <c r="A27" s="19"/>
      <c r="B27" s="9"/>
      <c r="C27" s="23"/>
      <c r="D27" s="6"/>
      <c r="E27" s="5"/>
      <c r="J27" s="27"/>
      <c r="K27" s="18"/>
      <c r="L27" s="3"/>
    </row>
    <row r="28" spans="1:12" x14ac:dyDescent="0.25">
      <c r="A28" s="14" t="s">
        <v>40</v>
      </c>
      <c r="B28" s="9" t="s">
        <v>41</v>
      </c>
      <c r="C28" s="22"/>
      <c r="D28" s="22"/>
      <c r="E28" s="17">
        <f>D29+D45</f>
        <v>7387353.290000001</v>
      </c>
      <c r="L28" s="3"/>
    </row>
    <row r="29" spans="1:12" x14ac:dyDescent="0.25">
      <c r="A29" s="19" t="s">
        <v>42</v>
      </c>
      <c r="B29" s="9" t="s">
        <v>43</v>
      </c>
      <c r="C29" s="4"/>
      <c r="D29" s="13">
        <f>D30+D31+D32+D33+D34+D35+D36+D37+D38+D39+D40+D41+D42+D43</f>
        <v>815675.83000000007</v>
      </c>
      <c r="E29" s="5"/>
      <c r="L29" s="3"/>
    </row>
    <row r="30" spans="1:12" x14ac:dyDescent="0.25">
      <c r="A30" s="19" t="s">
        <v>44</v>
      </c>
      <c r="B30" s="25" t="s">
        <v>45</v>
      </c>
      <c r="C30" s="21"/>
      <c r="D30" s="21">
        <v>3870.58</v>
      </c>
      <c r="E30" s="17"/>
      <c r="L30" s="3"/>
    </row>
    <row r="31" spans="1:12" x14ac:dyDescent="0.25">
      <c r="A31" s="19" t="s">
        <v>46</v>
      </c>
      <c r="B31" s="25" t="s">
        <v>47</v>
      </c>
      <c r="C31" s="22"/>
      <c r="D31" s="21">
        <v>21860.25</v>
      </c>
      <c r="E31" s="22"/>
      <c r="L31" s="3"/>
    </row>
    <row r="32" spans="1:12" x14ac:dyDescent="0.25">
      <c r="A32" s="19" t="s">
        <v>48</v>
      </c>
      <c r="B32" s="25" t="s">
        <v>49</v>
      </c>
      <c r="C32" s="23"/>
      <c r="D32" s="21">
        <v>271500</v>
      </c>
      <c r="E32" s="22"/>
      <c r="L32" s="3"/>
    </row>
    <row r="33" spans="1:15" x14ac:dyDescent="0.25">
      <c r="A33" s="19" t="s">
        <v>50</v>
      </c>
      <c r="B33" s="25" t="s">
        <v>51</v>
      </c>
      <c r="C33" s="22"/>
      <c r="D33" s="21">
        <v>15540</v>
      </c>
      <c r="E33" s="22"/>
      <c r="L33" s="3"/>
    </row>
    <row r="34" spans="1:15" x14ac:dyDescent="0.25">
      <c r="A34" s="19" t="s">
        <v>52</v>
      </c>
      <c r="B34" s="25" t="s">
        <v>53</v>
      </c>
      <c r="C34" s="23"/>
      <c r="D34" s="21">
        <v>14905</v>
      </c>
      <c r="E34" s="22"/>
      <c r="L34" s="3"/>
    </row>
    <row r="35" spans="1:15" x14ac:dyDescent="0.25">
      <c r="A35" s="19" t="s">
        <v>54</v>
      </c>
      <c r="B35" s="25" t="s">
        <v>55</v>
      </c>
      <c r="C35" s="21"/>
      <c r="D35" s="21">
        <v>90000</v>
      </c>
      <c r="E35" s="17"/>
      <c r="K35" s="2"/>
      <c r="L35" s="3"/>
    </row>
    <row r="36" spans="1:15" x14ac:dyDescent="0.25">
      <c r="A36" s="19" t="s">
        <v>56</v>
      </c>
      <c r="B36" s="25" t="s">
        <v>57</v>
      </c>
      <c r="C36" s="21"/>
      <c r="D36" s="21">
        <v>60000</v>
      </c>
      <c r="E36" s="17"/>
      <c r="K36" s="2"/>
      <c r="L36" s="3"/>
    </row>
    <row r="37" spans="1:15" x14ac:dyDescent="0.25">
      <c r="A37" s="19" t="s">
        <v>58</v>
      </c>
      <c r="B37" s="25" t="s">
        <v>59</v>
      </c>
      <c r="C37" s="21"/>
      <c r="D37" s="21">
        <v>70000</v>
      </c>
      <c r="E37" s="17"/>
      <c r="K37" s="2"/>
      <c r="L37" s="3"/>
      <c r="O37" s="3"/>
    </row>
    <row r="38" spans="1:15" x14ac:dyDescent="0.25">
      <c r="A38" s="19" t="s">
        <v>60</v>
      </c>
      <c r="B38" s="25" t="s">
        <v>61</v>
      </c>
      <c r="C38" s="21"/>
      <c r="D38" s="21">
        <v>40000</v>
      </c>
      <c r="E38" s="17"/>
      <c r="K38" s="27"/>
      <c r="L38" s="3"/>
      <c r="O38" s="3"/>
    </row>
    <row r="39" spans="1:15" x14ac:dyDescent="0.25">
      <c r="A39" s="19" t="s">
        <v>62</v>
      </c>
      <c r="B39" s="31" t="s">
        <v>63</v>
      </c>
      <c r="C39" s="32"/>
      <c r="D39" s="32">
        <v>30000</v>
      </c>
      <c r="E39" s="17"/>
      <c r="L39" s="3"/>
      <c r="O39" s="3"/>
    </row>
    <row r="40" spans="1:15" x14ac:dyDescent="0.25">
      <c r="A40" s="19" t="s">
        <v>64</v>
      </c>
      <c r="B40" s="31" t="s">
        <v>65</v>
      </c>
      <c r="C40" s="32"/>
      <c r="D40" s="32">
        <v>75000</v>
      </c>
      <c r="E40" s="17"/>
      <c r="L40" s="3"/>
      <c r="O40" s="3"/>
    </row>
    <row r="41" spans="1:15" x14ac:dyDescent="0.25">
      <c r="A41" s="19" t="s">
        <v>66</v>
      </c>
      <c r="B41" s="33" t="s">
        <v>67</v>
      </c>
      <c r="C41" s="34"/>
      <c r="D41" s="32">
        <v>36000</v>
      </c>
      <c r="E41" s="22"/>
      <c r="G41" s="35"/>
      <c r="H41" s="35"/>
      <c r="K41" s="36"/>
      <c r="L41" s="3"/>
      <c r="O41" s="27"/>
    </row>
    <row r="42" spans="1:15" x14ac:dyDescent="0.25">
      <c r="A42" s="19" t="s">
        <v>68</v>
      </c>
      <c r="B42" s="33" t="s">
        <v>69</v>
      </c>
      <c r="C42" s="34"/>
      <c r="D42" s="32">
        <v>51000</v>
      </c>
      <c r="E42" s="37"/>
      <c r="G42" s="35"/>
      <c r="H42" s="35"/>
      <c r="L42" s="3"/>
    </row>
    <row r="43" spans="1:15" x14ac:dyDescent="0.25">
      <c r="A43" s="19" t="s">
        <v>70</v>
      </c>
      <c r="B43" s="33" t="s">
        <v>71</v>
      </c>
      <c r="C43" s="34"/>
      <c r="D43" s="32">
        <v>36000</v>
      </c>
      <c r="E43" s="22"/>
      <c r="G43" s="35"/>
      <c r="H43" s="35"/>
      <c r="L43" s="3"/>
    </row>
    <row r="44" spans="1:15" x14ac:dyDescent="0.25">
      <c r="A44" s="19"/>
      <c r="B44" s="33"/>
      <c r="C44" s="34"/>
      <c r="D44" s="32"/>
      <c r="E44" s="22"/>
      <c r="G44" s="35"/>
      <c r="H44" s="35"/>
      <c r="L44" s="3"/>
    </row>
    <row r="45" spans="1:15" x14ac:dyDescent="0.25">
      <c r="A45" s="14" t="s">
        <v>72</v>
      </c>
      <c r="B45" s="9" t="s">
        <v>73</v>
      </c>
      <c r="C45" s="22"/>
      <c r="D45" s="17">
        <f>D46</f>
        <v>6571677.4600000009</v>
      </c>
      <c r="E45" s="5"/>
      <c r="G45" s="35"/>
      <c r="H45" s="35"/>
      <c r="L45" s="3"/>
    </row>
    <row r="46" spans="1:15" ht="25.5" x14ac:dyDescent="0.25">
      <c r="A46" s="14" t="s">
        <v>74</v>
      </c>
      <c r="B46" s="9" t="s">
        <v>75</v>
      </c>
      <c r="C46" s="22"/>
      <c r="D46" s="17">
        <f>D47</f>
        <v>6571677.4600000009</v>
      </c>
      <c r="E46" s="5"/>
      <c r="G46" s="35"/>
      <c r="H46" s="35"/>
      <c r="L46" s="3"/>
    </row>
    <row r="47" spans="1:15" ht="25.5" x14ac:dyDescent="0.25">
      <c r="A47" s="14" t="s">
        <v>76</v>
      </c>
      <c r="B47" s="9" t="s">
        <v>75</v>
      </c>
      <c r="C47" s="22"/>
      <c r="D47" s="17">
        <f>D48+D49</f>
        <v>6571677.4600000009</v>
      </c>
      <c r="E47" s="5"/>
      <c r="G47" s="35"/>
      <c r="H47" s="35"/>
      <c r="L47" s="3"/>
    </row>
    <row r="48" spans="1:15" x14ac:dyDescent="0.25">
      <c r="A48" s="19" t="s">
        <v>77</v>
      </c>
      <c r="B48" s="25" t="s">
        <v>78</v>
      </c>
      <c r="C48" s="22"/>
      <c r="D48" s="21">
        <f>14915073.91+21240+21240+82135.19+2826778.97-796199.88-10498590.73</f>
        <v>6571677.4600000009</v>
      </c>
      <c r="E48" s="22"/>
      <c r="G48" s="35"/>
      <c r="H48" s="35"/>
      <c r="L48"/>
    </row>
    <row r="49" spans="1:12" x14ac:dyDescent="0.25">
      <c r="A49" s="19" t="s">
        <v>79</v>
      </c>
      <c r="B49" s="25" t="s">
        <v>80</v>
      </c>
      <c r="C49" s="22"/>
      <c r="D49" s="21">
        <f>192918.48-192918.48</f>
        <v>0</v>
      </c>
      <c r="E49" s="22"/>
      <c r="G49" s="35"/>
      <c r="H49" s="35"/>
      <c r="L49" s="3"/>
    </row>
    <row r="50" spans="1:12" x14ac:dyDescent="0.25">
      <c r="A50" s="19"/>
      <c r="B50" s="25"/>
      <c r="C50" s="22"/>
      <c r="D50" s="21"/>
      <c r="E50" s="22"/>
      <c r="G50" s="35"/>
      <c r="H50" s="35"/>
      <c r="L50" s="3"/>
    </row>
    <row r="51" spans="1:12" x14ac:dyDescent="0.25">
      <c r="A51" s="19"/>
      <c r="B51" s="25"/>
      <c r="C51" s="22"/>
      <c r="D51" s="21"/>
      <c r="E51" s="22"/>
      <c r="G51" s="35"/>
      <c r="H51" s="35"/>
      <c r="L51" s="3"/>
    </row>
    <row r="52" spans="1:12" ht="25.5" customHeight="1" x14ac:dyDescent="0.25">
      <c r="A52" s="19"/>
      <c r="B52" s="25"/>
      <c r="C52" s="22"/>
      <c r="D52" s="21"/>
      <c r="E52" s="22"/>
      <c r="G52" s="35"/>
      <c r="H52" s="35"/>
      <c r="J52" s="18"/>
      <c r="L52"/>
    </row>
    <row r="53" spans="1:12" ht="15" customHeight="1" x14ac:dyDescent="0.25">
      <c r="A53" s="19"/>
      <c r="B53" s="25"/>
      <c r="C53" s="22"/>
      <c r="D53" s="21"/>
      <c r="E53" s="22"/>
      <c r="G53" s="35"/>
      <c r="H53" s="35"/>
      <c r="L53" s="3"/>
    </row>
    <row r="54" spans="1:12" ht="15" customHeight="1" x14ac:dyDescent="0.25">
      <c r="A54" s="19"/>
      <c r="B54" s="25"/>
      <c r="C54" s="22"/>
      <c r="D54" s="21"/>
      <c r="E54" s="22"/>
      <c r="G54" s="35"/>
      <c r="H54" s="35"/>
      <c r="L54" s="3"/>
    </row>
    <row r="55" spans="1:12" ht="15" customHeight="1" x14ac:dyDescent="0.25">
      <c r="A55" s="14" t="s">
        <v>81</v>
      </c>
      <c r="B55" s="9" t="s">
        <v>82</v>
      </c>
      <c r="C55" s="22"/>
      <c r="D55" s="21"/>
      <c r="E55" s="17">
        <f>+D56</f>
        <v>3833133.5200000005</v>
      </c>
      <c r="G55" s="35"/>
      <c r="H55" s="35"/>
      <c r="L55" s="3"/>
    </row>
    <row r="56" spans="1:12" ht="25.5" customHeight="1" x14ac:dyDescent="0.25">
      <c r="A56" s="14" t="s">
        <v>83</v>
      </c>
      <c r="B56" s="9" t="s">
        <v>84</v>
      </c>
      <c r="C56" s="22"/>
      <c r="D56" s="17">
        <f>2386933.83-1450693.87+1450693.87+1881461.66-265797.58-204592.18-219049.46-201660.46-277184.24+801585.59-229230.27+507429.49+468626.38-268486.52-546902.72</f>
        <v>3833133.5200000005</v>
      </c>
      <c r="E56" s="22"/>
      <c r="G56" s="35"/>
      <c r="H56" s="35"/>
      <c r="J56" s="18"/>
      <c r="L56" s="3"/>
    </row>
    <row r="57" spans="1:12" ht="15" hidden="1" customHeight="1" x14ac:dyDescent="0.25">
      <c r="A57" s="14" t="s">
        <v>85</v>
      </c>
      <c r="B57" s="9" t="s">
        <v>86</v>
      </c>
      <c r="C57" s="22"/>
      <c r="D57" s="21">
        <f>D58</f>
        <v>0</v>
      </c>
      <c r="E57" s="22"/>
      <c r="G57" s="35"/>
      <c r="H57" s="35"/>
      <c r="L57" s="3"/>
    </row>
    <row r="58" spans="1:12" ht="15" hidden="1" customHeight="1" x14ac:dyDescent="0.25">
      <c r="A58" s="19" t="s">
        <v>87</v>
      </c>
      <c r="B58" s="25" t="s">
        <v>86</v>
      </c>
      <c r="C58" s="22"/>
      <c r="D58" s="21"/>
      <c r="E58" s="22"/>
      <c r="G58" s="35"/>
      <c r="H58" s="35"/>
      <c r="L58" s="3"/>
    </row>
    <row r="59" spans="1:12" ht="15" hidden="1" customHeight="1" x14ac:dyDescent="0.25">
      <c r="A59" s="14" t="s">
        <v>88</v>
      </c>
      <c r="B59" s="9" t="s">
        <v>89</v>
      </c>
      <c r="C59" s="22"/>
      <c r="D59" s="21">
        <f>D60</f>
        <v>0</v>
      </c>
      <c r="E59" s="22"/>
      <c r="G59" s="35"/>
      <c r="H59" s="35"/>
      <c r="L59" s="3"/>
    </row>
    <row r="60" spans="1:12" ht="15" hidden="1" customHeight="1" x14ac:dyDescent="0.25">
      <c r="A60" s="19" t="s">
        <v>90</v>
      </c>
      <c r="B60" s="25" t="s">
        <v>89</v>
      </c>
      <c r="C60" s="22"/>
      <c r="D60" s="21"/>
      <c r="E60" s="22"/>
      <c r="G60" s="35"/>
      <c r="H60" s="35"/>
      <c r="L60" s="3"/>
    </row>
    <row r="61" spans="1:12" hidden="1" x14ac:dyDescent="0.25">
      <c r="A61" s="14" t="s">
        <v>91</v>
      </c>
      <c r="B61" s="9" t="s">
        <v>92</v>
      </c>
      <c r="C61" s="22"/>
      <c r="D61" s="21">
        <f>D62</f>
        <v>0</v>
      </c>
      <c r="E61" s="22"/>
      <c r="G61" s="35"/>
      <c r="H61" s="35"/>
      <c r="L61" s="3"/>
    </row>
    <row r="62" spans="1:12" hidden="1" x14ac:dyDescent="0.25">
      <c r="A62" s="19" t="s">
        <v>93</v>
      </c>
      <c r="B62" s="25" t="s">
        <v>92</v>
      </c>
      <c r="C62" s="22"/>
      <c r="D62" s="21"/>
      <c r="E62" s="22"/>
      <c r="G62" s="35"/>
      <c r="H62" s="35"/>
      <c r="L62" s="3"/>
    </row>
    <row r="63" spans="1:12" hidden="1" x14ac:dyDescent="0.25">
      <c r="A63" s="14" t="s">
        <v>94</v>
      </c>
      <c r="B63" s="9" t="s">
        <v>95</v>
      </c>
      <c r="C63" s="22"/>
      <c r="D63" s="21">
        <f>+D64</f>
        <v>0</v>
      </c>
      <c r="E63" s="22"/>
      <c r="G63" s="35"/>
      <c r="H63" s="35"/>
      <c r="I63" s="35"/>
      <c r="L63" s="3"/>
    </row>
    <row r="64" spans="1:12" hidden="1" x14ac:dyDescent="0.25">
      <c r="A64" s="19" t="s">
        <v>96</v>
      </c>
      <c r="B64" s="25" t="s">
        <v>95</v>
      </c>
      <c r="C64" s="22"/>
      <c r="D64" s="21"/>
      <c r="E64" s="22"/>
      <c r="G64" s="35"/>
      <c r="H64" s="35"/>
      <c r="I64" s="35"/>
      <c r="L64" s="3"/>
    </row>
    <row r="65" spans="1:12" hidden="1" x14ac:dyDescent="0.25">
      <c r="A65" s="19"/>
      <c r="B65" s="25"/>
      <c r="C65" s="22"/>
      <c r="D65" s="21"/>
      <c r="E65" s="22"/>
      <c r="G65" s="35"/>
      <c r="H65" s="35"/>
      <c r="I65" s="12"/>
      <c r="K65" s="38"/>
      <c r="L65" s="3"/>
    </row>
    <row r="66" spans="1:12" x14ac:dyDescent="0.25">
      <c r="A66" s="19"/>
      <c r="B66" s="25"/>
      <c r="C66" s="22"/>
      <c r="D66" s="21"/>
      <c r="E66" s="22"/>
      <c r="G66" s="35"/>
      <c r="H66" s="35"/>
      <c r="J66" s="27"/>
      <c r="K66" s="38"/>
      <c r="L66" s="39"/>
    </row>
    <row r="67" spans="1:12" x14ac:dyDescent="0.25">
      <c r="A67" s="19">
        <v>1.2</v>
      </c>
      <c r="B67" s="9" t="s">
        <v>97</v>
      </c>
      <c r="C67" s="22"/>
      <c r="D67" s="21"/>
      <c r="E67" s="17">
        <f>E68+E109</f>
        <v>53759611.789999992</v>
      </c>
      <c r="G67" s="35"/>
      <c r="H67" s="35"/>
      <c r="J67" s="27"/>
      <c r="K67" s="27"/>
      <c r="L67" s="39"/>
    </row>
    <row r="68" spans="1:12" x14ac:dyDescent="0.25">
      <c r="A68" s="14" t="s">
        <v>98</v>
      </c>
      <c r="B68" s="9" t="s">
        <v>99</v>
      </c>
      <c r="C68" s="22"/>
      <c r="D68" s="6"/>
      <c r="E68" s="17">
        <f>D69</f>
        <v>48332080.599999994</v>
      </c>
      <c r="G68" s="35"/>
      <c r="H68" s="35"/>
      <c r="J68" s="27"/>
      <c r="K68" s="27"/>
      <c r="L68" s="39"/>
    </row>
    <row r="69" spans="1:12" ht="25.5" x14ac:dyDescent="0.25">
      <c r="A69" s="14" t="s">
        <v>100</v>
      </c>
      <c r="B69" s="9" t="s">
        <v>101</v>
      </c>
      <c r="C69" s="22"/>
      <c r="D69" s="17">
        <f>+D70+D71+D77+D80+D82+D84+D85+D86+D87+D88+D89+D91</f>
        <v>48332080.599999994</v>
      </c>
      <c r="E69" s="22"/>
      <c r="G69" s="35"/>
      <c r="H69" s="35"/>
      <c r="J69" s="27"/>
      <c r="L69" s="39"/>
    </row>
    <row r="70" spans="1:12" x14ac:dyDescent="0.25">
      <c r="A70" s="14" t="s">
        <v>102</v>
      </c>
      <c r="B70" s="9" t="s">
        <v>103</v>
      </c>
      <c r="C70" s="22"/>
      <c r="D70" s="17">
        <v>38787166.299999997</v>
      </c>
      <c r="E70" s="22"/>
      <c r="G70" s="35"/>
      <c r="H70" s="35"/>
      <c r="J70" s="27"/>
      <c r="L70" s="39"/>
    </row>
    <row r="71" spans="1:12" ht="25.5" x14ac:dyDescent="0.25">
      <c r="A71" s="14" t="s">
        <v>104</v>
      </c>
      <c r="B71" s="9" t="s">
        <v>105</v>
      </c>
      <c r="C71" s="22"/>
      <c r="D71" s="17">
        <f>SUM(D72:D76)</f>
        <v>40134043.660000004</v>
      </c>
      <c r="E71" s="22"/>
      <c r="G71" s="35"/>
      <c r="H71" s="35"/>
      <c r="J71" s="27"/>
      <c r="L71" s="39"/>
    </row>
    <row r="72" spans="1:12" x14ac:dyDescent="0.25">
      <c r="A72" s="19" t="s">
        <v>106</v>
      </c>
      <c r="B72" s="25" t="s">
        <v>107</v>
      </c>
      <c r="C72" s="22"/>
      <c r="D72" s="21">
        <f>8627192.92+11434744.89-25752+2194.8-2194.8</f>
        <v>20036185.810000002</v>
      </c>
      <c r="E72" s="22"/>
      <c r="G72" s="35"/>
      <c r="H72" s="35"/>
      <c r="J72" s="27"/>
      <c r="L72" s="39"/>
    </row>
    <row r="73" spans="1:12" x14ac:dyDescent="0.25">
      <c r="A73" s="19" t="s">
        <v>108</v>
      </c>
      <c r="B73" s="25" t="s">
        <v>109</v>
      </c>
      <c r="C73" s="22"/>
      <c r="D73" s="21">
        <v>125434</v>
      </c>
      <c r="E73" s="22"/>
      <c r="G73" s="35"/>
      <c r="H73" s="35"/>
      <c r="J73" s="27"/>
      <c r="L73" s="39"/>
    </row>
    <row r="74" spans="1:12" x14ac:dyDescent="0.25">
      <c r="A74" s="19" t="s">
        <v>110</v>
      </c>
      <c r="B74" s="25" t="s">
        <v>111</v>
      </c>
      <c r="C74" s="22"/>
      <c r="D74" s="21">
        <f>12028503.67+192918.51+129997.06</f>
        <v>12351419.24</v>
      </c>
      <c r="E74" s="22"/>
      <c r="G74" s="35"/>
      <c r="H74" s="35"/>
      <c r="J74" s="27"/>
      <c r="L74" s="39"/>
    </row>
    <row r="75" spans="1:12" x14ac:dyDescent="0.25">
      <c r="A75" s="19" t="s">
        <v>112</v>
      </c>
      <c r="B75" s="25" t="s">
        <v>113</v>
      </c>
      <c r="C75" s="22"/>
      <c r="D75" s="21">
        <f>5401729.03+2194.8+219075.26+101019.8</f>
        <v>5724018.8899999997</v>
      </c>
      <c r="E75" s="22"/>
      <c r="G75" s="35"/>
      <c r="H75" s="35"/>
      <c r="J75" s="27"/>
      <c r="L75" s="39"/>
    </row>
    <row r="76" spans="1:12" ht="25.5" x14ac:dyDescent="0.25">
      <c r="A76" s="19" t="s">
        <v>114</v>
      </c>
      <c r="B76" s="25" t="s">
        <v>115</v>
      </c>
      <c r="C76" s="22"/>
      <c r="D76" s="21">
        <f>1899935.72-2950</f>
        <v>1896985.72</v>
      </c>
      <c r="E76" s="22"/>
      <c r="G76" s="35"/>
      <c r="H76" s="35"/>
      <c r="J76" s="27"/>
      <c r="L76" s="39"/>
    </row>
    <row r="77" spans="1:12" ht="25.5" x14ac:dyDescent="0.25">
      <c r="A77" s="14" t="s">
        <v>116</v>
      </c>
      <c r="B77" s="9" t="s">
        <v>117</v>
      </c>
      <c r="C77" s="22"/>
      <c r="D77" s="17">
        <f>SUM(D78:D79)</f>
        <v>614334.41</v>
      </c>
      <c r="E77" s="22"/>
      <c r="G77" s="35"/>
      <c r="H77" s="35"/>
      <c r="J77" s="27"/>
      <c r="L77" s="39"/>
    </row>
    <row r="78" spans="1:12" ht="23.25" customHeight="1" x14ac:dyDescent="0.25">
      <c r="A78" s="19" t="s">
        <v>118</v>
      </c>
      <c r="B78" s="25" t="s">
        <v>119</v>
      </c>
      <c r="C78" s="22"/>
      <c r="D78" s="21">
        <v>606958.73</v>
      </c>
      <c r="E78" s="22"/>
      <c r="G78" s="35"/>
      <c r="H78" s="35"/>
      <c r="J78" s="27"/>
      <c r="L78" s="39"/>
    </row>
    <row r="79" spans="1:12" ht="25.5" x14ac:dyDescent="0.25">
      <c r="A79" s="19" t="s">
        <v>120</v>
      </c>
      <c r="B79" s="25" t="s">
        <v>121</v>
      </c>
      <c r="C79" s="22"/>
      <c r="D79" s="21">
        <v>7375.68</v>
      </c>
      <c r="E79" s="22"/>
      <c r="G79" s="35"/>
      <c r="H79" s="35"/>
      <c r="L79" s="3"/>
    </row>
    <row r="80" spans="1:12" ht="25.5" x14ac:dyDescent="0.25">
      <c r="A80" s="14" t="s">
        <v>122</v>
      </c>
      <c r="B80" s="9" t="s">
        <v>123</v>
      </c>
      <c r="C80" s="22"/>
      <c r="D80" s="17">
        <f>+D81</f>
        <v>87883.28</v>
      </c>
      <c r="E80" s="22"/>
      <c r="G80" s="35"/>
      <c r="H80" s="35"/>
      <c r="L80" s="3"/>
    </row>
    <row r="81" spans="1:15" x14ac:dyDescent="0.25">
      <c r="A81" s="19" t="s">
        <v>124</v>
      </c>
      <c r="B81" s="25" t="s">
        <v>125</v>
      </c>
      <c r="C81" s="22"/>
      <c r="D81" s="21">
        <f>13953.5+73929.78</f>
        <v>87883.28</v>
      </c>
      <c r="E81" s="22"/>
      <c r="G81" s="35"/>
      <c r="H81" s="35"/>
      <c r="L81" s="3"/>
    </row>
    <row r="82" spans="1:15" ht="25.5" x14ac:dyDescent="0.25">
      <c r="A82" s="14" t="s">
        <v>126</v>
      </c>
      <c r="B82" s="9" t="s">
        <v>127</v>
      </c>
      <c r="C82" s="22"/>
      <c r="D82" s="17">
        <f>D83</f>
        <v>44149544.399999999</v>
      </c>
      <c r="E82" s="22"/>
      <c r="G82" s="35"/>
      <c r="H82" s="35"/>
      <c r="L82" s="3"/>
    </row>
    <row r="83" spans="1:15" x14ac:dyDescent="0.25">
      <c r="A83" s="19" t="s">
        <v>128</v>
      </c>
      <c r="B83" s="25" t="s">
        <v>129</v>
      </c>
      <c r="C83" s="22"/>
      <c r="D83" s="21">
        <f>44057543.99+92000.41</f>
        <v>44149544.399999999</v>
      </c>
      <c r="E83" s="22"/>
      <c r="G83" s="35"/>
      <c r="H83" s="35"/>
      <c r="L83" s="3"/>
    </row>
    <row r="84" spans="1:15" x14ac:dyDescent="0.25">
      <c r="A84" s="14" t="s">
        <v>130</v>
      </c>
      <c r="B84" s="9" t="s">
        <v>131</v>
      </c>
      <c r="C84" s="22"/>
      <c r="D84" s="17">
        <f>194771.99+13950+4985</f>
        <v>213706.99</v>
      </c>
      <c r="E84" s="22"/>
      <c r="G84" s="35"/>
      <c r="H84" s="35"/>
      <c r="L84" s="3"/>
    </row>
    <row r="85" spans="1:15" ht="38.25" x14ac:dyDescent="0.25">
      <c r="A85" s="14" t="s">
        <v>132</v>
      </c>
      <c r="B85" s="9" t="s">
        <v>133</v>
      </c>
      <c r="C85" s="22"/>
      <c r="D85" s="17">
        <f>51536.5-2194.8</f>
        <v>49341.7</v>
      </c>
      <c r="E85" s="22"/>
      <c r="G85" s="35"/>
      <c r="H85" s="35"/>
      <c r="L85" s="3"/>
    </row>
    <row r="86" spans="1:15" ht="25.5" x14ac:dyDescent="0.25">
      <c r="A86" s="14" t="s">
        <v>134</v>
      </c>
      <c r="B86" s="9" t="s">
        <v>135</v>
      </c>
      <c r="C86" s="22"/>
      <c r="D86" s="17">
        <f>38447.22+5140</f>
        <v>43587.22</v>
      </c>
      <c r="E86" s="22"/>
      <c r="G86" s="35"/>
      <c r="H86" s="35"/>
      <c r="K86" s="18"/>
      <c r="L86" s="3"/>
      <c r="O86" s="3"/>
    </row>
    <row r="87" spans="1:15" ht="25.5" x14ac:dyDescent="0.25">
      <c r="A87" s="14" t="s">
        <v>136</v>
      </c>
      <c r="B87" s="9" t="s">
        <v>137</v>
      </c>
      <c r="C87" s="22"/>
      <c r="D87" s="17">
        <v>55596.73</v>
      </c>
      <c r="E87" s="22"/>
      <c r="G87" s="35"/>
      <c r="H87" s="35"/>
      <c r="L87" s="3"/>
    </row>
    <row r="88" spans="1:15" x14ac:dyDescent="0.25">
      <c r="A88" s="14" t="s">
        <v>138</v>
      </c>
      <c r="B88" s="9" t="s">
        <v>139</v>
      </c>
      <c r="C88" s="22"/>
      <c r="D88" s="17">
        <f>60045+1042726.77</f>
        <v>1102771.77</v>
      </c>
      <c r="E88" s="22"/>
      <c r="G88" s="35"/>
      <c r="H88" s="35"/>
      <c r="I88" s="12"/>
      <c r="K88" s="40"/>
      <c r="L88" s="3"/>
      <c r="O88" s="18"/>
    </row>
    <row r="89" spans="1:15" x14ac:dyDescent="0.25">
      <c r="A89" s="14" t="s">
        <v>140</v>
      </c>
      <c r="B89" s="9" t="s">
        <v>141</v>
      </c>
      <c r="C89" s="22"/>
      <c r="D89" s="17">
        <v>643334.55000000005</v>
      </c>
      <c r="E89" s="22"/>
      <c r="G89" s="35"/>
      <c r="H89" s="35"/>
      <c r="I89" s="12"/>
      <c r="L89" s="3"/>
      <c r="O89" s="18"/>
    </row>
    <row r="90" spans="1:15" x14ac:dyDescent="0.25">
      <c r="A90" s="19"/>
      <c r="B90" s="25"/>
      <c r="C90" s="22"/>
      <c r="D90" s="21"/>
      <c r="E90" s="22"/>
      <c r="G90" s="35"/>
      <c r="H90" s="35"/>
      <c r="L90" s="3"/>
    </row>
    <row r="91" spans="1:15" x14ac:dyDescent="0.25">
      <c r="A91" s="14"/>
      <c r="B91" s="9" t="s">
        <v>142</v>
      </c>
      <c r="C91" s="22"/>
      <c r="D91" s="17">
        <f>SUM(D92:D107)</f>
        <v>-77549230.410000011</v>
      </c>
      <c r="E91" s="41"/>
      <c r="G91" s="35"/>
      <c r="H91" s="35"/>
      <c r="L91" s="3"/>
    </row>
    <row r="92" spans="1:15" x14ac:dyDescent="0.25">
      <c r="A92" s="19" t="s">
        <v>143</v>
      </c>
      <c r="B92" s="25" t="s">
        <v>144</v>
      </c>
      <c r="C92" s="22"/>
      <c r="D92" s="21">
        <f>-17932429.9-64645.28-64645.28-64645.28-64645.28-64645.28</f>
        <v>-18255656.300000004</v>
      </c>
      <c r="E92" s="22"/>
      <c r="G92" s="35"/>
      <c r="H92" s="21"/>
      <c r="L92" s="3"/>
    </row>
    <row r="93" spans="1:15" ht="25.5" x14ac:dyDescent="0.25">
      <c r="A93" s="19" t="s">
        <v>145</v>
      </c>
      <c r="B93" s="25" t="s">
        <v>146</v>
      </c>
      <c r="C93" s="22"/>
      <c r="D93" s="21">
        <f>-15546103.55-62178.47-25749-62178.48-62178.47-62178.47-62178.48</f>
        <v>-15882744.920000004</v>
      </c>
      <c r="E93" s="22"/>
      <c r="G93" s="35"/>
      <c r="H93" s="21"/>
      <c r="L93" s="3"/>
    </row>
    <row r="94" spans="1:15" ht="25.5" x14ac:dyDescent="0.25">
      <c r="A94" s="19" t="s">
        <v>147</v>
      </c>
      <c r="B94" s="25" t="s">
        <v>148</v>
      </c>
      <c r="C94" s="22"/>
      <c r="D94" s="21">
        <f>-61041.73-1045.19-1045.19-1045.19-1045.19-1045.19</f>
        <v>-66267.680000000008</v>
      </c>
      <c r="E94" s="22"/>
      <c r="G94" s="35"/>
      <c r="H94" s="21"/>
      <c r="L94" s="3"/>
    </row>
    <row r="95" spans="1:15" ht="25.5" x14ac:dyDescent="0.25">
      <c r="A95" s="19" t="s">
        <v>149</v>
      </c>
      <c r="B95" s="25" t="s">
        <v>150</v>
      </c>
      <c r="C95" s="22"/>
      <c r="D95" s="21">
        <f>-9163142.29-202089.18-202089.18-191718.65-177987.85-186987.88</f>
        <v>-10124015.029999999</v>
      </c>
      <c r="E95" s="22"/>
      <c r="G95" s="35"/>
      <c r="H95" s="21"/>
      <c r="L95" s="3"/>
    </row>
    <row r="96" spans="1:15" ht="25.5" x14ac:dyDescent="0.25">
      <c r="A96" s="19" t="s">
        <v>151</v>
      </c>
      <c r="B96" s="25" t="s">
        <v>152</v>
      </c>
      <c r="C96" s="22"/>
      <c r="D96" s="21">
        <f>-2192130.6-42141.97-43967.59-43967.59-43967.58-43967.59</f>
        <v>-2410142.92</v>
      </c>
      <c r="E96" s="22"/>
      <c r="G96" s="35"/>
      <c r="H96" s="21"/>
      <c r="L96" s="3"/>
    </row>
    <row r="97" spans="1:13" ht="25.5" x14ac:dyDescent="0.25">
      <c r="A97" s="19" t="s">
        <v>153</v>
      </c>
      <c r="B97" s="25" t="s">
        <v>154</v>
      </c>
      <c r="C97" s="22"/>
      <c r="D97" s="21">
        <f>-850640.33-25071.62-2949-25071.62-25071.61-25071.62-25071.62</f>
        <v>-978947.41999999993</v>
      </c>
      <c r="E97" s="22"/>
      <c r="G97" s="35"/>
      <c r="H97" s="21"/>
      <c r="L97" s="3"/>
    </row>
    <row r="98" spans="1:13" x14ac:dyDescent="0.25">
      <c r="A98" s="19" t="s">
        <v>155</v>
      </c>
      <c r="B98" s="25" t="s">
        <v>119</v>
      </c>
      <c r="C98" s="22"/>
      <c r="D98" s="21">
        <f>-260484.41-8249.24-8249.23-8249.23-8249.23-8249.23</f>
        <v>-301730.56999999995</v>
      </c>
      <c r="E98" s="22"/>
      <c r="G98" s="35"/>
      <c r="H98" s="21"/>
      <c r="L98" s="3"/>
    </row>
    <row r="99" spans="1:13" ht="25.5" x14ac:dyDescent="0.25">
      <c r="A99" s="19" t="s">
        <v>156</v>
      </c>
      <c r="B99" s="25" t="s">
        <v>121</v>
      </c>
      <c r="C99" s="22"/>
      <c r="D99" s="21">
        <f>-860.14-61.44-61.44-61.44-61.44-61.44</f>
        <v>-1167.3400000000001</v>
      </c>
      <c r="E99" s="22"/>
      <c r="G99" s="35"/>
      <c r="H99" s="21"/>
      <c r="L99" s="3"/>
    </row>
    <row r="100" spans="1:13" ht="25.5" x14ac:dyDescent="0.25">
      <c r="A100" s="19" t="s">
        <v>157</v>
      </c>
      <c r="B100" s="25" t="s">
        <v>158</v>
      </c>
      <c r="C100" s="22"/>
      <c r="D100" s="21">
        <f>-32911.13-992.1-153.87-992.11-153.88-992.11-153.87-992.11-153.88-1145.97</f>
        <v>-38641.03</v>
      </c>
      <c r="E100" s="22"/>
      <c r="G100" s="35"/>
      <c r="H100" s="21"/>
      <c r="L100" s="3"/>
    </row>
    <row r="101" spans="1:13" ht="29.25" customHeight="1" x14ac:dyDescent="0.25">
      <c r="A101" s="19" t="s">
        <v>159</v>
      </c>
      <c r="B101" s="25" t="s">
        <v>160</v>
      </c>
      <c r="C101" s="22"/>
      <c r="D101" s="21">
        <f>-25646942.87-191922.43-43704.4-58.09-163460.97-399145.9-399145.91-399145.89-399145.89</f>
        <v>-27642672.349999998</v>
      </c>
      <c r="E101" s="22"/>
      <c r="G101" s="35"/>
      <c r="H101" s="21"/>
      <c r="L101" s="3"/>
    </row>
    <row r="102" spans="1:13" ht="30.75" customHeight="1" x14ac:dyDescent="0.25">
      <c r="A102" s="19" t="s">
        <v>161</v>
      </c>
      <c r="B102" s="25" t="s">
        <v>162</v>
      </c>
      <c r="C102" s="22"/>
      <c r="D102" s="21">
        <f>-54586.25-1442.83-1481.16-1600.61-1600.61-1600.6</f>
        <v>-62312.060000000005</v>
      </c>
      <c r="E102" s="22"/>
      <c r="G102" s="35"/>
      <c r="H102" s="21"/>
      <c r="L102" s="3"/>
    </row>
    <row r="103" spans="1:13" ht="38.25" customHeight="1" x14ac:dyDescent="0.25">
      <c r="A103" s="19" t="s">
        <v>163</v>
      </c>
      <c r="B103" s="25" t="s">
        <v>164</v>
      </c>
      <c r="C103" s="22"/>
      <c r="D103" s="21">
        <f>-7148.39-411.05-411.05-411.04-411.05-411.05</f>
        <v>-9203.6299999999992</v>
      </c>
      <c r="E103" s="22"/>
      <c r="G103" s="35"/>
      <c r="H103" s="21"/>
      <c r="L103" s="3"/>
    </row>
    <row r="104" spans="1:13" ht="38.25" x14ac:dyDescent="0.25">
      <c r="A104" s="19" t="s">
        <v>165</v>
      </c>
      <c r="B104" s="25" t="s">
        <v>166</v>
      </c>
      <c r="C104" s="22"/>
      <c r="D104" s="21">
        <f>-17906.86-933.56-1076.32-1076.31-1076.31-1076.31</f>
        <v>-23145.670000000006</v>
      </c>
      <c r="E104" s="22"/>
      <c r="G104" s="35"/>
      <c r="H104" s="21"/>
      <c r="L104" s="3"/>
    </row>
    <row r="105" spans="1:13" ht="31.5" customHeight="1" x14ac:dyDescent="0.25">
      <c r="A105" s="19" t="s">
        <v>167</v>
      </c>
      <c r="B105" s="25" t="s">
        <v>168</v>
      </c>
      <c r="C105" s="22"/>
      <c r="D105" s="21">
        <f>-4169.68-463.3-463.29-463.3-463.3-463.3</f>
        <v>-6486.170000000001</v>
      </c>
      <c r="E105" s="22"/>
      <c r="G105" s="35"/>
      <c r="H105" s="21"/>
      <c r="L105" s="3"/>
    </row>
    <row r="106" spans="1:13" ht="31.5" customHeight="1" x14ac:dyDescent="0.25">
      <c r="A106" s="19" t="s">
        <v>169</v>
      </c>
      <c r="B106" s="25" t="s">
        <v>139</v>
      </c>
      <c r="C106" s="22"/>
      <c r="D106" s="21">
        <f>-1098767.83-1000.74-1000.73-1000.73-1000.74</f>
        <v>-1102770.77</v>
      </c>
      <c r="E106" s="22"/>
      <c r="G106" s="35"/>
      <c r="H106" s="21"/>
      <c r="L106" s="3"/>
    </row>
    <row r="107" spans="1:13" ht="25.5" customHeight="1" x14ac:dyDescent="0.25">
      <c r="A107" s="19" t="s">
        <v>170</v>
      </c>
      <c r="B107" s="25" t="s">
        <v>171</v>
      </c>
      <c r="C107" s="22"/>
      <c r="D107" s="21">
        <f>-640927.38-599.79-599.8-599.79-599.79</f>
        <v>-643326.55000000016</v>
      </c>
      <c r="E107" s="22"/>
      <c r="G107" s="35"/>
      <c r="H107" s="21"/>
      <c r="L107" s="3"/>
    </row>
    <row r="108" spans="1:13" x14ac:dyDescent="0.25">
      <c r="A108" s="42"/>
      <c r="B108" s="5"/>
      <c r="C108" s="5"/>
      <c r="D108" s="6"/>
      <c r="E108" s="22"/>
      <c r="G108" s="35"/>
      <c r="H108" s="21"/>
      <c r="J108" s="38"/>
      <c r="L108" s="3"/>
    </row>
    <row r="109" spans="1:13" x14ac:dyDescent="0.25">
      <c r="A109" s="14" t="s">
        <v>172</v>
      </c>
      <c r="B109" s="9" t="s">
        <v>173</v>
      </c>
      <c r="C109" s="22"/>
      <c r="D109" s="6"/>
      <c r="E109" s="17">
        <f>+D110</f>
        <v>5427531.1899999985</v>
      </c>
      <c r="G109" s="35"/>
      <c r="H109" s="21"/>
      <c r="J109" s="38"/>
      <c r="L109" s="39"/>
    </row>
    <row r="110" spans="1:13" ht="25.5" x14ac:dyDescent="0.25">
      <c r="A110" s="14" t="s">
        <v>174</v>
      </c>
      <c r="B110" s="9" t="s">
        <v>175</v>
      </c>
      <c r="C110" s="22"/>
      <c r="D110" s="17">
        <f>+D111+D115</f>
        <v>5427531.1899999985</v>
      </c>
      <c r="E110" s="22"/>
      <c r="G110" s="35"/>
      <c r="H110" s="21"/>
      <c r="J110" s="38"/>
      <c r="L110" s="3"/>
      <c r="M110" s="18"/>
    </row>
    <row r="111" spans="1:13" ht="17.25" x14ac:dyDescent="0.4">
      <c r="A111" s="19" t="s">
        <v>176</v>
      </c>
      <c r="B111" s="25" t="s">
        <v>177</v>
      </c>
      <c r="C111" s="22"/>
      <c r="D111" s="21">
        <f>130839.61+10519830.73+117858.27</f>
        <v>10768528.609999999</v>
      </c>
      <c r="E111" s="22"/>
      <c r="G111" s="35"/>
      <c r="H111" s="21"/>
      <c r="J111" s="38"/>
      <c r="L111" s="43"/>
    </row>
    <row r="112" spans="1:13" ht="17.25" hidden="1" x14ac:dyDescent="0.4">
      <c r="A112" s="19">
        <v>11040103</v>
      </c>
      <c r="B112" s="25" t="s">
        <v>178</v>
      </c>
      <c r="C112" s="22"/>
      <c r="D112" s="21"/>
      <c r="E112" s="22"/>
      <c r="G112" s="35"/>
      <c r="H112" s="21"/>
      <c r="J112" s="38"/>
      <c r="L112" s="43"/>
    </row>
    <row r="113" spans="1:12" ht="17.25" hidden="1" x14ac:dyDescent="0.4">
      <c r="A113" s="19">
        <v>11040104</v>
      </c>
      <c r="B113" s="25" t="s">
        <v>179</v>
      </c>
      <c r="C113" s="22"/>
      <c r="D113" s="21"/>
      <c r="E113" s="22"/>
      <c r="G113" s="35"/>
      <c r="H113" s="21"/>
      <c r="I113" s="12"/>
      <c r="J113" s="38"/>
      <c r="L113" s="43"/>
    </row>
    <row r="114" spans="1:12" ht="25.5" hidden="1" x14ac:dyDescent="0.25">
      <c r="A114" s="19">
        <v>11040105</v>
      </c>
      <c r="B114" s="25" t="s">
        <v>180</v>
      </c>
      <c r="C114" s="22"/>
      <c r="D114" s="21"/>
      <c r="E114" s="22"/>
      <c r="G114" s="35"/>
      <c r="H114" s="21"/>
      <c r="J114" s="38"/>
      <c r="L114" s="3"/>
    </row>
    <row r="115" spans="1:12" ht="25.5" x14ac:dyDescent="0.25">
      <c r="A115" s="19" t="s">
        <v>181</v>
      </c>
      <c r="B115" s="9" t="s">
        <v>182</v>
      </c>
      <c r="C115" s="22"/>
      <c r="D115" s="17">
        <f>-4530287.45-162142-162141.99-162141.99-162142-162141.99</f>
        <v>-5340997.4200000009</v>
      </c>
      <c r="E115" s="22"/>
      <c r="G115" s="35"/>
      <c r="H115" s="21"/>
      <c r="J115" s="38"/>
      <c r="L115" s="3"/>
    </row>
    <row r="116" spans="1:12" x14ac:dyDescent="0.25">
      <c r="A116" s="19"/>
      <c r="B116" s="9"/>
      <c r="C116" s="22"/>
      <c r="D116" s="22"/>
      <c r="E116" s="17"/>
      <c r="G116" s="35"/>
      <c r="H116" s="35"/>
      <c r="I116" s="12"/>
      <c r="L116" s="3"/>
    </row>
    <row r="117" spans="1:12" x14ac:dyDescent="0.25">
      <c r="A117" s="19">
        <v>2</v>
      </c>
      <c r="B117" s="9" t="s">
        <v>183</v>
      </c>
      <c r="C117" s="22"/>
      <c r="D117" s="22"/>
      <c r="E117" s="17">
        <f>D118</f>
        <v>8853406.2000000011</v>
      </c>
      <c r="G117" s="35"/>
      <c r="H117" s="35"/>
      <c r="I117" s="12"/>
      <c r="L117" s="3"/>
    </row>
    <row r="118" spans="1:12" x14ac:dyDescent="0.25">
      <c r="A118" s="19">
        <v>2.1</v>
      </c>
      <c r="B118" s="9" t="s">
        <v>184</v>
      </c>
      <c r="C118" s="22"/>
      <c r="D118" s="17">
        <f>D119+D124+D131+D136</f>
        <v>8853406.2000000011</v>
      </c>
      <c r="E118" s="17"/>
      <c r="G118" s="35"/>
      <c r="H118" s="35"/>
      <c r="I118" s="12"/>
      <c r="L118" s="3"/>
    </row>
    <row r="119" spans="1:12" x14ac:dyDescent="0.25">
      <c r="A119" s="19" t="s">
        <v>185</v>
      </c>
      <c r="B119" s="9" t="s">
        <v>186</v>
      </c>
      <c r="C119" s="22"/>
      <c r="D119" s="17">
        <f>+D120</f>
        <v>8832278.870000001</v>
      </c>
      <c r="E119" s="17"/>
      <c r="G119" s="35"/>
      <c r="H119" s="35"/>
      <c r="I119" s="12"/>
      <c r="L119" s="3"/>
    </row>
    <row r="120" spans="1:12" s="45" customFormat="1" ht="25.5" x14ac:dyDescent="0.25">
      <c r="A120" s="19" t="s">
        <v>187</v>
      </c>
      <c r="B120" s="9" t="s">
        <v>188</v>
      </c>
      <c r="C120" s="22"/>
      <c r="D120" s="17">
        <f>+D121+D122</f>
        <v>8832278.870000001</v>
      </c>
      <c r="E120" s="17"/>
      <c r="F120" s="1"/>
      <c r="G120" s="35"/>
      <c r="H120" s="35"/>
      <c r="I120" s="44"/>
      <c r="L120" s="28"/>
    </row>
    <row r="121" spans="1:12" x14ac:dyDescent="0.25">
      <c r="A121" s="19" t="s">
        <v>189</v>
      </c>
      <c r="B121" s="9" t="s">
        <v>190</v>
      </c>
      <c r="C121" s="22"/>
      <c r="D121" s="21">
        <f>2555717.95+2500-99120+2068737.25+71411.6+157058-2373197.1+94046+871631.93-5000-6900-2221581.92+1199189.6-94046+231016.86</f>
        <v>2451464.17</v>
      </c>
      <c r="E121" s="17"/>
      <c r="G121" s="35"/>
      <c r="H121" s="35"/>
      <c r="I121" s="12"/>
      <c r="L121" s="3"/>
    </row>
    <row r="122" spans="1:12" x14ac:dyDescent="0.25">
      <c r="A122" s="19" t="s">
        <v>191</v>
      </c>
      <c r="B122" s="9" t="s">
        <v>192</v>
      </c>
      <c r="C122" s="22"/>
      <c r="D122" s="21">
        <v>6380814.7000000002</v>
      </c>
      <c r="E122" s="17"/>
      <c r="G122" s="35"/>
      <c r="H122" s="35"/>
      <c r="I122" s="12"/>
      <c r="L122" s="3"/>
    </row>
    <row r="123" spans="1:12" x14ac:dyDescent="0.25">
      <c r="A123" s="19"/>
      <c r="B123" s="9"/>
      <c r="C123" s="22"/>
      <c r="D123" s="21"/>
      <c r="E123" s="17"/>
      <c r="G123" s="35"/>
      <c r="H123" s="35"/>
      <c r="I123" s="12"/>
      <c r="L123" s="3"/>
    </row>
    <row r="124" spans="1:12" ht="25.5" x14ac:dyDescent="0.25">
      <c r="A124" s="19" t="s">
        <v>193</v>
      </c>
      <c r="B124" s="9" t="s">
        <v>194</v>
      </c>
      <c r="C124" s="22"/>
      <c r="D124" s="17">
        <f>D125</f>
        <v>21127.33</v>
      </c>
      <c r="E124" s="17"/>
      <c r="G124" s="35"/>
      <c r="H124" s="35"/>
      <c r="I124" s="12"/>
      <c r="L124" s="3"/>
    </row>
    <row r="125" spans="1:12" ht="25.5" x14ac:dyDescent="0.25">
      <c r="A125" s="19" t="s">
        <v>195</v>
      </c>
      <c r="B125" s="9" t="s">
        <v>196</v>
      </c>
      <c r="C125" s="22"/>
      <c r="D125" s="17">
        <f>+D126</f>
        <v>21127.33</v>
      </c>
      <c r="E125" s="17"/>
      <c r="G125" s="35"/>
      <c r="H125" s="35"/>
      <c r="I125" s="12"/>
      <c r="L125" s="3"/>
    </row>
    <row r="126" spans="1:12" ht="25.5" x14ac:dyDescent="0.25">
      <c r="A126" s="19" t="s">
        <v>197</v>
      </c>
      <c r="B126" s="9" t="s">
        <v>198</v>
      </c>
      <c r="C126" s="22"/>
      <c r="D126" s="17">
        <f>D127+D128+D129+D130</f>
        <v>21127.33</v>
      </c>
      <c r="E126" s="17"/>
      <c r="G126" s="35"/>
      <c r="H126" s="35"/>
      <c r="I126" s="12"/>
      <c r="L126" s="3"/>
    </row>
    <row r="127" spans="1:12" x14ac:dyDescent="0.25">
      <c r="A127" s="19" t="s">
        <v>199</v>
      </c>
      <c r="B127" s="25" t="s">
        <v>200</v>
      </c>
      <c r="C127" s="22"/>
      <c r="D127" s="21">
        <f>6026.21+1547.26-6323.47+13411.48+11092.47+13786.12-25753.96+4395.37-13786.12+2343.01</f>
        <v>6738.369999999999</v>
      </c>
      <c r="E127" s="17"/>
      <c r="G127" s="35"/>
      <c r="H127" s="35"/>
      <c r="L127" s="3"/>
    </row>
    <row r="128" spans="1:12" x14ac:dyDescent="0.25">
      <c r="A128" s="19" t="s">
        <v>201</v>
      </c>
      <c r="B128" s="25" t="s">
        <v>202</v>
      </c>
      <c r="C128" s="22"/>
      <c r="D128" s="21">
        <f>8400-8400</f>
        <v>0</v>
      </c>
      <c r="E128" s="17"/>
      <c r="G128" s="35"/>
      <c r="H128" s="35"/>
      <c r="L128" s="3"/>
    </row>
    <row r="129" spans="1:13" ht="18.75" x14ac:dyDescent="0.3">
      <c r="A129" s="19" t="s">
        <v>203</v>
      </c>
      <c r="B129" s="25" t="s">
        <v>204</v>
      </c>
      <c r="C129" s="22"/>
      <c r="D129" s="21">
        <f>13050+1671.03-13371.04+14484.4+20840.34+9498.33-36674.74+8950.19-9498.33+4297.96</f>
        <v>13248.140000000003</v>
      </c>
      <c r="E129" s="17"/>
      <c r="G129" s="35"/>
      <c r="H129" s="35"/>
      <c r="L129" s="3"/>
      <c r="M129" s="46"/>
    </row>
    <row r="130" spans="1:13" ht="18.75" x14ac:dyDescent="0.3">
      <c r="A130" s="19" t="s">
        <v>205</v>
      </c>
      <c r="B130" s="25" t="s">
        <v>206</v>
      </c>
      <c r="C130" s="22"/>
      <c r="D130" s="21">
        <f>635.6-635.6+663.27+477.55</f>
        <v>1140.82</v>
      </c>
      <c r="E130" s="17"/>
      <c r="G130" s="35"/>
      <c r="H130" s="35"/>
      <c r="L130" s="3"/>
      <c r="M130" s="46"/>
    </row>
    <row r="131" spans="1:13" ht="25.5" x14ac:dyDescent="0.3">
      <c r="A131" s="14" t="s">
        <v>207</v>
      </c>
      <c r="B131" s="9" t="s">
        <v>208</v>
      </c>
      <c r="C131" s="22"/>
      <c r="D131" s="17">
        <f>+D132</f>
        <v>0</v>
      </c>
      <c r="E131" s="17"/>
      <c r="F131" s="47"/>
      <c r="G131" s="48"/>
      <c r="H131" s="48"/>
      <c r="L131" s="3"/>
      <c r="M131" s="46"/>
    </row>
    <row r="132" spans="1:13" ht="25.5" x14ac:dyDescent="0.3">
      <c r="A132" s="19" t="s">
        <v>209</v>
      </c>
      <c r="B132" s="25" t="s">
        <v>210</v>
      </c>
      <c r="C132" s="22"/>
      <c r="D132" s="21">
        <f>+D133</f>
        <v>0</v>
      </c>
      <c r="E132" s="17"/>
      <c r="G132" s="35"/>
      <c r="H132" s="35"/>
      <c r="L132" s="3"/>
      <c r="M132" s="46"/>
    </row>
    <row r="133" spans="1:13" x14ac:dyDescent="0.25">
      <c r="A133" s="19" t="s">
        <v>211</v>
      </c>
      <c r="B133" s="25" t="s">
        <v>212</v>
      </c>
      <c r="C133" s="22"/>
      <c r="D133" s="21">
        <f>11000-11000</f>
        <v>0</v>
      </c>
      <c r="E133" s="17"/>
      <c r="G133" s="35"/>
      <c r="H133" s="35"/>
      <c r="L133" s="3"/>
      <c r="M133" s="49">
        <v>65383387.790000036</v>
      </c>
    </row>
    <row r="134" spans="1:13" x14ac:dyDescent="0.25">
      <c r="A134" s="19"/>
      <c r="B134" s="25"/>
      <c r="C134" s="22"/>
      <c r="D134" s="21"/>
      <c r="E134" s="17"/>
      <c r="G134" s="35"/>
      <c r="H134" s="35"/>
      <c r="L134" s="3"/>
      <c r="M134" s="49">
        <v>64329165.399999999</v>
      </c>
    </row>
    <row r="135" spans="1:13" x14ac:dyDescent="0.25">
      <c r="A135" s="14" t="s">
        <v>213</v>
      </c>
      <c r="B135" s="9" t="s">
        <v>214</v>
      </c>
      <c r="C135" s="22"/>
      <c r="D135" s="17">
        <f>+D136</f>
        <v>0</v>
      </c>
      <c r="E135" s="17"/>
      <c r="G135" s="35"/>
      <c r="H135" s="35"/>
      <c r="L135" s="3"/>
      <c r="M135" s="49"/>
    </row>
    <row r="136" spans="1:13" x14ac:dyDescent="0.25">
      <c r="A136" s="14" t="s">
        <v>215</v>
      </c>
      <c r="B136" s="9" t="s">
        <v>216</v>
      </c>
      <c r="C136" s="22"/>
      <c r="D136" s="17">
        <f>+D137</f>
        <v>0</v>
      </c>
      <c r="E136" s="17"/>
      <c r="G136" s="35"/>
      <c r="H136" s="35"/>
      <c r="K136" s="50"/>
      <c r="L136" s="3"/>
      <c r="M136" s="51">
        <v>1112000</v>
      </c>
    </row>
    <row r="137" spans="1:13" x14ac:dyDescent="0.25">
      <c r="A137" s="19" t="s">
        <v>217</v>
      </c>
      <c r="B137" s="25" t="s">
        <v>218</v>
      </c>
      <c r="C137" s="22"/>
      <c r="D137" s="21">
        <f>200000-200000</f>
        <v>0</v>
      </c>
      <c r="E137" s="17"/>
      <c r="G137" s="35"/>
      <c r="H137" s="35"/>
      <c r="K137" s="50"/>
      <c r="L137" s="3"/>
      <c r="M137" s="51">
        <v>14591657.710000001</v>
      </c>
    </row>
    <row r="138" spans="1:13" x14ac:dyDescent="0.25">
      <c r="A138" s="19"/>
      <c r="B138" s="9"/>
      <c r="C138" s="22"/>
      <c r="D138" s="17"/>
      <c r="E138" s="17"/>
      <c r="G138" s="35"/>
      <c r="H138" s="35"/>
      <c r="K138" s="50"/>
      <c r="L138" s="3"/>
      <c r="M138" s="51">
        <v>0</v>
      </c>
    </row>
    <row r="139" spans="1:13" x14ac:dyDescent="0.25">
      <c r="A139" s="19">
        <v>3</v>
      </c>
      <c r="B139" s="9" t="s">
        <v>219</v>
      </c>
      <c r="C139" s="22"/>
      <c r="D139" s="17"/>
      <c r="E139" s="17">
        <f>D140</f>
        <v>68857417.719999999</v>
      </c>
      <c r="G139" s="35"/>
      <c r="H139" s="35"/>
      <c r="K139" s="50"/>
      <c r="L139" s="3"/>
      <c r="M139" s="51"/>
    </row>
    <row r="140" spans="1:13" x14ac:dyDescent="0.25">
      <c r="A140" s="19">
        <v>3.1</v>
      </c>
      <c r="B140" s="9" t="s">
        <v>220</v>
      </c>
      <c r="C140" s="22"/>
      <c r="D140" s="17">
        <f>D141+D144</f>
        <v>68857417.719999999</v>
      </c>
      <c r="E140" s="17"/>
      <c r="G140" s="35"/>
      <c r="H140" s="35"/>
      <c r="K140" s="50"/>
      <c r="L140" s="3"/>
      <c r="M140" s="51"/>
    </row>
    <row r="141" spans="1:13" x14ac:dyDescent="0.25">
      <c r="A141" s="19" t="s">
        <v>221</v>
      </c>
      <c r="B141" s="9" t="s">
        <v>222</v>
      </c>
      <c r="C141" s="22"/>
      <c r="D141" s="17">
        <f>+D143</f>
        <v>65441165.399999999</v>
      </c>
      <c r="E141" s="17"/>
      <c r="G141" s="35"/>
      <c r="H141" s="35"/>
      <c r="K141" s="27"/>
      <c r="L141" s="3"/>
      <c r="M141" s="51">
        <v>11592195.470000001</v>
      </c>
    </row>
    <row r="142" spans="1:13" x14ac:dyDescent="0.25">
      <c r="A142" s="19" t="s">
        <v>224</v>
      </c>
      <c r="B142" s="9" t="s">
        <v>225</v>
      </c>
      <c r="C142" s="22"/>
      <c r="D142" s="17"/>
      <c r="E142" s="17"/>
      <c r="G142" s="35"/>
      <c r="H142" s="35"/>
      <c r="K142" s="27"/>
      <c r="L142" s="3"/>
      <c r="M142" s="51"/>
    </row>
    <row r="143" spans="1:13" x14ac:dyDescent="0.25">
      <c r="A143" s="19" t="s">
        <v>226</v>
      </c>
      <c r="B143" s="9" t="s">
        <v>227</v>
      </c>
      <c r="C143" s="22"/>
      <c r="D143" s="17">
        <v>65441165.399999999</v>
      </c>
      <c r="E143" s="17"/>
      <c r="G143" s="35"/>
      <c r="H143" s="35"/>
      <c r="K143" s="27"/>
      <c r="L143" s="3"/>
      <c r="M143" s="51">
        <v>-26241630.789999962</v>
      </c>
    </row>
    <row r="144" spans="1:13" x14ac:dyDescent="0.25">
      <c r="A144" s="14" t="s">
        <v>229</v>
      </c>
      <c r="B144" s="9" t="s">
        <v>230</v>
      </c>
      <c r="C144" s="22"/>
      <c r="D144" s="17">
        <f>D145+D148</f>
        <v>3416252.3200000077</v>
      </c>
      <c r="E144" s="17"/>
      <c r="G144" s="35"/>
      <c r="H144" s="35"/>
      <c r="L144" s="3"/>
      <c r="M144" s="51"/>
    </row>
    <row r="145" spans="1:13" ht="25.5" x14ac:dyDescent="0.25">
      <c r="A145" s="14" t="s">
        <v>231</v>
      </c>
      <c r="B145" s="9" t="s">
        <v>232</v>
      </c>
      <c r="C145" s="22"/>
      <c r="D145" s="17">
        <f>D146+D147</f>
        <v>-57777.609999999404</v>
      </c>
      <c r="E145" s="17"/>
      <c r="G145" s="35"/>
      <c r="H145" s="35"/>
      <c r="L145" s="3"/>
      <c r="M145" s="51"/>
    </row>
    <row r="146" spans="1:13" ht="17.25" customHeight="1" x14ac:dyDescent="0.25">
      <c r="A146" s="19" t="s">
        <v>233</v>
      </c>
      <c r="B146" s="25" t="s">
        <v>234</v>
      </c>
      <c r="C146" s="22"/>
      <c r="D146" s="21">
        <v>-26241630.789999999</v>
      </c>
      <c r="E146" s="17"/>
      <c r="G146" s="35"/>
      <c r="H146" s="35"/>
      <c r="M146" s="27"/>
    </row>
    <row r="147" spans="1:13" ht="25.5" x14ac:dyDescent="0.25">
      <c r="A147" s="19" t="s">
        <v>235</v>
      </c>
      <c r="B147" s="25" t="s">
        <v>236</v>
      </c>
      <c r="C147" s="22"/>
      <c r="D147" s="21">
        <v>26183853.18</v>
      </c>
      <c r="E147" s="17"/>
      <c r="G147" s="35"/>
      <c r="H147" s="35"/>
      <c r="I147" s="12"/>
    </row>
    <row r="148" spans="1:13" x14ac:dyDescent="0.25">
      <c r="A148" s="14" t="s">
        <v>237</v>
      </c>
      <c r="B148" s="9" t="s">
        <v>238</v>
      </c>
      <c r="C148" s="22"/>
      <c r="D148" s="17">
        <f>+D151+D149+D150</f>
        <v>3474029.9300000072</v>
      </c>
      <c r="E148" s="17"/>
      <c r="G148" s="35"/>
      <c r="H148" s="35"/>
      <c r="I148" s="12"/>
    </row>
    <row r="149" spans="1:13" x14ac:dyDescent="0.25">
      <c r="A149" s="19" t="s">
        <v>239</v>
      </c>
      <c r="B149" s="25" t="s">
        <v>240</v>
      </c>
      <c r="C149" s="22"/>
      <c r="D149" s="17"/>
      <c r="E149" s="17"/>
      <c r="G149" s="35"/>
      <c r="H149" s="35"/>
      <c r="I149" s="12"/>
    </row>
    <row r="150" spans="1:13" x14ac:dyDescent="0.25">
      <c r="A150" s="19" t="s">
        <v>241</v>
      </c>
      <c r="B150" s="25" t="s">
        <v>242</v>
      </c>
      <c r="C150" s="22"/>
      <c r="D150" s="17"/>
      <c r="E150" s="17"/>
      <c r="G150" s="35"/>
      <c r="H150" s="35"/>
    </row>
    <row r="151" spans="1:13" x14ac:dyDescent="0.25">
      <c r="A151" s="14" t="s">
        <v>243</v>
      </c>
      <c r="B151" s="9" t="s">
        <v>228</v>
      </c>
      <c r="C151" s="22"/>
      <c r="D151" s="48">
        <f>SUM(D152:D153)</f>
        <v>3474029.9300000072</v>
      </c>
      <c r="E151" s="17"/>
      <c r="G151" s="35"/>
      <c r="H151" s="35"/>
    </row>
    <row r="152" spans="1:13" ht="25.5" x14ac:dyDescent="0.25">
      <c r="A152" s="19" t="s">
        <v>244</v>
      </c>
      <c r="B152" s="25" t="s">
        <v>245</v>
      </c>
      <c r="C152" s="22"/>
      <c r="D152" s="21">
        <f>+'[1]Estado resultado acumulado '!F194</f>
        <v>3474029.9300000072</v>
      </c>
      <c r="E152" s="17"/>
      <c r="G152" s="35"/>
      <c r="H152" s="35"/>
      <c r="K152" s="18"/>
      <c r="L152" s="38"/>
    </row>
    <row r="153" spans="1:13" x14ac:dyDescent="0.25">
      <c r="A153" s="19" t="s">
        <v>246</v>
      </c>
      <c r="B153" s="25" t="s">
        <v>223</v>
      </c>
      <c r="C153" s="22"/>
      <c r="D153" s="21"/>
      <c r="E153" s="17"/>
      <c r="G153" s="35"/>
      <c r="H153" s="35"/>
      <c r="K153" s="18"/>
      <c r="L153" s="38"/>
    </row>
    <row r="154" spans="1:13" x14ac:dyDescent="0.25">
      <c r="E154" s="17"/>
      <c r="G154" s="35"/>
      <c r="H154" s="35"/>
      <c r="K154" s="18"/>
    </row>
    <row r="155" spans="1:13" x14ac:dyDescent="0.25">
      <c r="B155" s="9"/>
      <c r="C155" s="52"/>
      <c r="D155" s="22"/>
      <c r="E155" s="17"/>
      <c r="G155" s="35"/>
      <c r="H155" s="35"/>
    </row>
    <row r="156" spans="1:13" x14ac:dyDescent="0.25">
      <c r="B156" s="53" t="s">
        <v>247</v>
      </c>
      <c r="C156" s="54"/>
      <c r="D156" s="62" t="s">
        <v>248</v>
      </c>
      <c r="E156" s="63"/>
      <c r="F156" s="63"/>
      <c r="G156" s="63"/>
      <c r="H156" s="64"/>
    </row>
    <row r="157" spans="1:13" x14ac:dyDescent="0.25">
      <c r="K157" s="18"/>
    </row>
    <row r="161" spans="1:11" x14ac:dyDescent="0.25">
      <c r="K161" s="18"/>
    </row>
    <row r="163" spans="1:11" x14ac:dyDescent="0.25">
      <c r="A163" s="55" t="s">
        <v>252</v>
      </c>
      <c r="C163" s="54"/>
      <c r="D163" s="6" t="s">
        <v>253</v>
      </c>
      <c r="E163" s="56"/>
      <c r="F163" s="57"/>
      <c r="G163" s="57"/>
      <c r="H163" s="57"/>
    </row>
    <row r="164" spans="1:11" x14ac:dyDescent="0.25">
      <c r="A164" s="58" t="s">
        <v>249</v>
      </c>
      <c r="C164" s="59"/>
      <c r="D164" s="60" t="s">
        <v>250</v>
      </c>
      <c r="E164" s="60"/>
      <c r="F164" s="60"/>
      <c r="G164" s="60"/>
      <c r="H164" s="60"/>
    </row>
    <row r="165" spans="1:11" x14ac:dyDescent="0.25">
      <c r="B165" s="47"/>
      <c r="C165" s="47"/>
      <c r="D165" s="24"/>
      <c r="E165" s="47"/>
      <c r="F165" s="47"/>
      <c r="G165" s="47"/>
      <c r="H165" s="47"/>
    </row>
    <row r="425" spans="10:10" x14ac:dyDescent="0.25">
      <c r="J425" t="s">
        <v>251</v>
      </c>
    </row>
  </sheetData>
  <mergeCells count="6">
    <mergeCell ref="D164:H164"/>
    <mergeCell ref="B3:E3"/>
    <mergeCell ref="B4:E4"/>
    <mergeCell ref="B5:E5"/>
    <mergeCell ref="B6:E6"/>
    <mergeCell ref="D156:H156"/>
  </mergeCells>
  <pageMargins left="1" right="1" top="1" bottom="1" header="0.5" footer="0.5"/>
  <pageSetup scale="62" orientation="portrait" r:id="rId1"/>
  <rowBreaks count="3" manualBreakCount="3">
    <brk id="54" max="7" man="1"/>
    <brk id="99" max="7" man="1"/>
    <brk id="137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Jennifer Segura</cp:lastModifiedBy>
  <dcterms:created xsi:type="dcterms:W3CDTF">2024-07-10T19:13:00Z</dcterms:created>
  <dcterms:modified xsi:type="dcterms:W3CDTF">2024-07-11T14:28:36Z</dcterms:modified>
</cp:coreProperties>
</file>