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5\PORTAL TRANSPARENCIA-2025\DICIEMBRE\"/>
    </mc:Choice>
  </mc:AlternateContent>
  <bookViews>
    <workbookView xWindow="0" yWindow="0" windowWidth="20490" windowHeight="7755"/>
  </bookViews>
  <sheets>
    <sheet name="Ejec. Presup 2025" sheetId="1" r:id="rId1"/>
  </sheets>
  <definedNames>
    <definedName name="_xlnm.Print_Area" localSheetId="0">'Ejec. Presup 2025'!$A$1:$P$98</definedName>
    <definedName name="_xlnm.Print_Titles" localSheetId="0">'Ejec. Presup 2025'!$9:$9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9" i="1" l="1"/>
  <c r="P65" i="1"/>
  <c r="P63" i="1"/>
  <c r="P56" i="1"/>
  <c r="P55" i="1"/>
  <c r="P37" i="1"/>
  <c r="P35" i="1"/>
  <c r="P29" i="1"/>
  <c r="P27" i="1"/>
  <c r="P26" i="1"/>
  <c r="P25" i="1"/>
  <c r="P23" i="1"/>
  <c r="D23" i="1" s="1"/>
  <c r="P21" i="1"/>
  <c r="P20" i="1"/>
  <c r="P19" i="1"/>
  <c r="P13" i="1"/>
  <c r="P18" i="1" l="1"/>
  <c r="L64" i="1"/>
  <c r="M64" i="1"/>
  <c r="N64" i="1"/>
  <c r="O64" i="1"/>
  <c r="P64" i="1"/>
  <c r="D66" i="1"/>
  <c r="D67" i="1"/>
  <c r="D68" i="1"/>
  <c r="D65" i="1"/>
  <c r="D63" i="1"/>
  <c r="P62" i="1"/>
  <c r="D62" i="1" s="1"/>
  <c r="P60" i="1"/>
  <c r="D60" i="1" s="1"/>
  <c r="D59" i="1"/>
  <c r="D56" i="1"/>
  <c r="D37" i="1"/>
  <c r="P34" i="1"/>
  <c r="P32" i="1"/>
  <c r="D32" i="1" s="1"/>
  <c r="P31" i="1"/>
  <c r="D31" i="1" s="1"/>
  <c r="P30" i="1"/>
  <c r="D26" i="1"/>
  <c r="D25" i="1"/>
  <c r="P24" i="1"/>
  <c r="D24" i="1" s="1"/>
  <c r="P22" i="1"/>
  <c r="D22" i="1" s="1"/>
  <c r="D21" i="1"/>
  <c r="D61" i="1"/>
  <c r="D55" i="1"/>
  <c r="D30" i="1"/>
  <c r="D33" i="1"/>
  <c r="D34" i="1"/>
  <c r="D36" i="1"/>
  <c r="D20" i="1"/>
  <c r="D27" i="1"/>
  <c r="D19" i="1"/>
  <c r="D14" i="1"/>
  <c r="D15" i="1"/>
  <c r="D16" i="1"/>
  <c r="D17" i="1"/>
  <c r="D13" i="1"/>
  <c r="D12" i="1" s="1"/>
  <c r="P17" i="1"/>
  <c r="P14" i="1"/>
  <c r="P38" i="1"/>
  <c r="D18" i="1" l="1"/>
  <c r="P54" i="1"/>
  <c r="P28" i="1"/>
  <c r="D35" i="1"/>
  <c r="P12" i="1"/>
  <c r="N76" i="1"/>
  <c r="O76" i="1"/>
  <c r="O89" i="1"/>
  <c r="O62" i="1"/>
  <c r="O60" i="1"/>
  <c r="O59" i="1"/>
  <c r="O56" i="1"/>
  <c r="O55" i="1"/>
  <c r="D57" i="1"/>
  <c r="D58" i="1"/>
  <c r="O46" i="1"/>
  <c r="O38" i="1"/>
  <c r="O37" i="1"/>
  <c r="O35" i="1"/>
  <c r="O34" i="1"/>
  <c r="O33" i="1"/>
  <c r="O32" i="1"/>
  <c r="O31" i="1"/>
  <c r="O30" i="1"/>
  <c r="O29" i="1"/>
  <c r="M28" i="1"/>
  <c r="N28" i="1"/>
  <c r="O27" i="1"/>
  <c r="O26" i="1"/>
  <c r="O25" i="1"/>
  <c r="O24" i="1"/>
  <c r="O23" i="1"/>
  <c r="O22" i="1"/>
  <c r="O21" i="1"/>
  <c r="O20" i="1"/>
  <c r="O19" i="1"/>
  <c r="O17" i="1"/>
  <c r="O14" i="1"/>
  <c r="O13" i="1"/>
  <c r="P76" i="1" l="1"/>
  <c r="O54" i="1"/>
  <c r="O28" i="1"/>
  <c r="O18" i="1"/>
  <c r="N89" i="1"/>
  <c r="F76" i="1"/>
  <c r="G76" i="1"/>
  <c r="H76" i="1"/>
  <c r="I76" i="1"/>
  <c r="J76" i="1"/>
  <c r="K76" i="1"/>
  <c r="L76" i="1"/>
  <c r="M76" i="1"/>
  <c r="N12" i="1"/>
  <c r="N35" i="1"/>
  <c r="N29" i="1"/>
  <c r="D29" i="1" s="1"/>
  <c r="D28" i="1" s="1"/>
  <c r="N62" i="1"/>
  <c r="N60" i="1"/>
  <c r="N59" i="1"/>
  <c r="N56" i="1"/>
  <c r="N55" i="1"/>
  <c r="N38" i="1"/>
  <c r="N46" i="1"/>
  <c r="N37" i="1"/>
  <c r="N34" i="1"/>
  <c r="N33" i="1"/>
  <c r="N32" i="1"/>
  <c r="N31" i="1"/>
  <c r="N30" i="1"/>
  <c r="N27" i="1"/>
  <c r="N26" i="1"/>
  <c r="N25" i="1"/>
  <c r="N24" i="1"/>
  <c r="N23" i="1"/>
  <c r="N22" i="1"/>
  <c r="N21" i="1"/>
  <c r="N20" i="1"/>
  <c r="N19" i="1"/>
  <c r="N17" i="1"/>
  <c r="N14" i="1"/>
  <c r="N13" i="1"/>
  <c r="N54" i="1" l="1"/>
  <c r="N18" i="1"/>
  <c r="C18" i="1"/>
  <c r="M60" i="1"/>
  <c r="M46" i="1"/>
  <c r="M38" i="1"/>
  <c r="K46" i="1" l="1"/>
  <c r="L46" i="1"/>
  <c r="K38" i="1"/>
  <c r="L38" i="1"/>
  <c r="L33" i="1"/>
  <c r="M33" i="1" l="1"/>
  <c r="I63" i="1"/>
  <c r="D64" i="1"/>
  <c r="K64" i="1"/>
  <c r="K21" i="1"/>
  <c r="L21" i="1" l="1"/>
  <c r="M21" i="1" s="1"/>
  <c r="J32" i="1" l="1"/>
  <c r="K32" i="1" l="1"/>
  <c r="J63" i="1"/>
  <c r="K63" i="1" s="1"/>
  <c r="I20" i="1"/>
  <c r="I62" i="1"/>
  <c r="I15" i="1"/>
  <c r="K62" i="1" l="1"/>
  <c r="L61" i="1" s="1"/>
  <c r="L32" i="1"/>
  <c r="J20" i="1"/>
  <c r="K20" i="1" s="1"/>
  <c r="H34" i="1"/>
  <c r="H27" i="1"/>
  <c r="M32" i="1" l="1"/>
  <c r="L20" i="1"/>
  <c r="I27" i="1"/>
  <c r="I34" i="1"/>
  <c r="G22" i="1"/>
  <c r="G59" i="1"/>
  <c r="G56" i="1"/>
  <c r="G31" i="1"/>
  <c r="G29" i="1"/>
  <c r="M20" i="1" l="1"/>
  <c r="J34" i="1"/>
  <c r="J27" i="1"/>
  <c r="H29" i="1"/>
  <c r="H31" i="1"/>
  <c r="I31" i="1" s="1"/>
  <c r="H56" i="1"/>
  <c r="H59" i="1"/>
  <c r="I59" i="1" s="1"/>
  <c r="H22" i="1"/>
  <c r="I22" i="1" s="1"/>
  <c r="G85" i="1"/>
  <c r="G82" i="1"/>
  <c r="G79" i="1"/>
  <c r="G72" i="1"/>
  <c r="G69" i="1"/>
  <c r="G64" i="1"/>
  <c r="G46" i="1"/>
  <c r="K34" i="1" l="1"/>
  <c r="K27" i="1"/>
  <c r="L27" i="1" s="1"/>
  <c r="I56" i="1"/>
  <c r="J31" i="1"/>
  <c r="I29" i="1"/>
  <c r="J59" i="1"/>
  <c r="J22" i="1"/>
  <c r="G87" i="1"/>
  <c r="G38" i="1"/>
  <c r="L34" i="1" l="1"/>
  <c r="M34" i="1" s="1"/>
  <c r="J29" i="1"/>
  <c r="K29" i="1" s="1"/>
  <c r="M27" i="1"/>
  <c r="K22" i="1"/>
  <c r="L22" i="1" s="1"/>
  <c r="M22" i="1" s="1"/>
  <c r="K59" i="1"/>
  <c r="L59" i="1" s="1"/>
  <c r="J56" i="1"/>
  <c r="K56" i="1" s="1"/>
  <c r="K31" i="1"/>
  <c r="C54" i="1"/>
  <c r="F35" i="1"/>
  <c r="F19" i="1"/>
  <c r="F13" i="1"/>
  <c r="F26" i="1"/>
  <c r="F55" i="1"/>
  <c r="F37" i="1"/>
  <c r="F30" i="1"/>
  <c r="F25" i="1"/>
  <c r="F24" i="1"/>
  <c r="F23" i="1"/>
  <c r="F17" i="1"/>
  <c r="F14" i="1"/>
  <c r="M59" i="1" l="1"/>
  <c r="L29" i="1"/>
  <c r="M29" i="1" s="1"/>
  <c r="L56" i="1"/>
  <c r="M56" i="1" s="1"/>
  <c r="L31" i="1"/>
  <c r="F28" i="1"/>
  <c r="G30" i="1"/>
  <c r="G19" i="1"/>
  <c r="H19" i="1" s="1"/>
  <c r="G26" i="1"/>
  <c r="H26" i="1" s="1"/>
  <c r="G23" i="1"/>
  <c r="H23" i="1" s="1"/>
  <c r="G37" i="1"/>
  <c r="H37" i="1" s="1"/>
  <c r="G35" i="1"/>
  <c r="H35" i="1" s="1"/>
  <c r="G13" i="1"/>
  <c r="G24" i="1"/>
  <c r="H24" i="1" s="1"/>
  <c r="G55" i="1"/>
  <c r="G14" i="1"/>
  <c r="H14" i="1" s="1"/>
  <c r="G25" i="1"/>
  <c r="F18" i="1"/>
  <c r="G17" i="1"/>
  <c r="H17" i="1" s="1"/>
  <c r="M31" i="1" l="1"/>
  <c r="H13" i="1"/>
  <c r="G54" i="1"/>
  <c r="G28" i="1"/>
  <c r="I35" i="1"/>
  <c r="I17" i="1"/>
  <c r="I23" i="1"/>
  <c r="I14" i="1"/>
  <c r="I26" i="1"/>
  <c r="I24" i="1"/>
  <c r="H30" i="1"/>
  <c r="I37" i="1"/>
  <c r="I19" i="1"/>
  <c r="G18" i="1"/>
  <c r="H55" i="1"/>
  <c r="H25" i="1"/>
  <c r="G12" i="1"/>
  <c r="H28" i="1" l="1"/>
  <c r="I25" i="1"/>
  <c r="I18" i="1" s="1"/>
  <c r="I13" i="1"/>
  <c r="J13" i="1" s="1"/>
  <c r="K13" i="1" s="1"/>
  <c r="J24" i="1"/>
  <c r="J14" i="1"/>
  <c r="J17" i="1"/>
  <c r="K17" i="1" s="1"/>
  <c r="L17" i="1" s="1"/>
  <c r="K14" i="1"/>
  <c r="J19" i="1"/>
  <c r="J37" i="1"/>
  <c r="K37" i="1" s="1"/>
  <c r="H18" i="1"/>
  <c r="I55" i="1"/>
  <c r="J55" i="1" s="1"/>
  <c r="J54" i="1" s="1"/>
  <c r="H54" i="1"/>
  <c r="I30" i="1"/>
  <c r="J26" i="1"/>
  <c r="K26" i="1" s="1"/>
  <c r="J23" i="1"/>
  <c r="K23" i="1" s="1"/>
  <c r="J35" i="1"/>
  <c r="J25" i="1"/>
  <c r="K25" i="1" s="1"/>
  <c r="M17" i="1" l="1"/>
  <c r="L23" i="1"/>
  <c r="J30" i="1"/>
  <c r="K30" i="1" s="1"/>
  <c r="L30" i="1" s="1"/>
  <c r="M30" i="1" s="1"/>
  <c r="K24" i="1"/>
  <c r="L24" i="1" s="1"/>
  <c r="K12" i="1"/>
  <c r="L14" i="1"/>
  <c r="M14" i="1" s="1"/>
  <c r="L37" i="1"/>
  <c r="K55" i="1"/>
  <c r="K54" i="1" s="1"/>
  <c r="L25" i="1"/>
  <c r="L26" i="1"/>
  <c r="M26" i="1" s="1"/>
  <c r="L13" i="1"/>
  <c r="J18" i="1"/>
  <c r="K19" i="1"/>
  <c r="I28" i="1"/>
  <c r="K35" i="1"/>
  <c r="I54" i="1"/>
  <c r="M23" i="1" l="1"/>
  <c r="J28" i="1"/>
  <c r="M37" i="1"/>
  <c r="M25" i="1"/>
  <c r="M13" i="1"/>
  <c r="M12" i="1" s="1"/>
  <c r="M24" i="1"/>
  <c r="L55" i="1"/>
  <c r="L54" i="1" s="1"/>
  <c r="L12" i="1"/>
  <c r="L19" i="1"/>
  <c r="L18" i="1" s="1"/>
  <c r="L35" i="1"/>
  <c r="K28" i="1"/>
  <c r="K18" i="1"/>
  <c r="H46" i="1"/>
  <c r="I46" i="1"/>
  <c r="J46" i="1"/>
  <c r="H38" i="1"/>
  <c r="I38" i="1"/>
  <c r="J38" i="1"/>
  <c r="M55" i="1" l="1"/>
  <c r="M54" i="1" s="1"/>
  <c r="D54" i="1"/>
  <c r="Q54" i="1" s="1"/>
  <c r="M19" i="1"/>
  <c r="M35" i="1"/>
  <c r="L28" i="1"/>
  <c r="K89" i="1"/>
  <c r="H64" i="1"/>
  <c r="I64" i="1"/>
  <c r="M18" i="1" l="1"/>
  <c r="J64" i="1"/>
  <c r="F85" i="1" l="1"/>
  <c r="F82" i="1"/>
  <c r="F79" i="1"/>
  <c r="F69" i="1"/>
  <c r="F64" i="1"/>
  <c r="F46" i="1"/>
  <c r="F38" i="1"/>
  <c r="F87" i="1" l="1"/>
  <c r="F12" i="1"/>
  <c r="F54" i="1"/>
  <c r="B18" i="1"/>
  <c r="E85" i="1"/>
  <c r="E82" i="1"/>
  <c r="E79" i="1"/>
  <c r="F72" i="1"/>
  <c r="E69" i="1"/>
  <c r="E64" i="1"/>
  <c r="E54" i="1"/>
  <c r="E46" i="1"/>
  <c r="E38" i="1"/>
  <c r="E28" i="1"/>
  <c r="E18" i="1"/>
  <c r="E12" i="1"/>
  <c r="F89" i="1" l="1"/>
  <c r="E76" i="1"/>
  <c r="E87" i="1"/>
  <c r="D48" i="1"/>
  <c r="E89" i="1" l="1"/>
  <c r="H12" i="1"/>
  <c r="I12" i="1" l="1"/>
  <c r="C12" i="1"/>
  <c r="C28" i="1"/>
  <c r="C64" i="1"/>
  <c r="B12" i="1"/>
  <c r="B28" i="1"/>
  <c r="B54" i="1"/>
  <c r="C46" i="1"/>
  <c r="B46" i="1"/>
  <c r="C38" i="1"/>
  <c r="B38" i="1"/>
  <c r="D39" i="1"/>
  <c r="D40" i="1"/>
  <c r="D41" i="1"/>
  <c r="D42" i="1"/>
  <c r="D43" i="1"/>
  <c r="D44" i="1"/>
  <c r="D45" i="1"/>
  <c r="D47" i="1"/>
  <c r="D49" i="1"/>
  <c r="D50" i="1"/>
  <c r="D51" i="1"/>
  <c r="D52" i="1"/>
  <c r="D53" i="1"/>
  <c r="D69" i="1"/>
  <c r="D72" i="1"/>
  <c r="J79" i="1"/>
  <c r="D85" i="1"/>
  <c r="D79" i="1"/>
  <c r="D83" i="1"/>
  <c r="D82" i="1" s="1"/>
  <c r="I87" i="1"/>
  <c r="H87" i="1"/>
  <c r="H89" i="1" s="1"/>
  <c r="I89" i="1" l="1"/>
  <c r="J12" i="1"/>
  <c r="J89" i="1" s="1"/>
  <c r="C76" i="1"/>
  <c r="D38" i="1"/>
  <c r="D87" i="1"/>
  <c r="B76" i="1"/>
  <c r="D46" i="1"/>
  <c r="C89" i="1" l="1"/>
  <c r="B89" i="1"/>
  <c r="O12" i="1" l="1"/>
  <c r="G89" i="1" l="1"/>
  <c r="M89" i="1"/>
  <c r="L89" i="1" l="1"/>
  <c r="P89" i="1" l="1"/>
  <c r="D76" i="1"/>
  <c r="D78" i="1" s="1"/>
  <c r="D89" i="1" l="1"/>
</calcChain>
</file>

<file path=xl/sharedStrings.xml><?xml version="1.0" encoding="utf-8"?>
<sst xmlns="http://schemas.openxmlformats.org/spreadsheetml/2006/main" count="103" uniqueCount="103">
  <si>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</si>
  <si>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</si>
  <si>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</si>
  <si>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</si>
  <si>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</si>
  <si>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</si>
  <si>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</si>
  <si>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</si>
  <si>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</si>
  <si>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</si>
  <si>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</si>
  <si>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</si>
  <si>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</si>
  <si>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</si>
  <si>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</si>
  <si>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</si>
  <si>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</si>
  <si>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</si>
  <si>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</si>
  <si>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</si>
  <si>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</si>
  <si>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</si>
  <si>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</si>
  <si>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</si>
  <si>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</si>
  <si>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</si>
  <si>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</si>
  <si>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</si>
  <si>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</si>
  <si>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</si>
  <si>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</si>
  <si>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</si>
  <si>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</si>
  <si>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</si>
  <si>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</si>
  <si>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</si>
  <si>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</si>
  <si>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</si>
  <si>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</si>
  <si>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</si>
  <si>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</si>
  <si>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</si>
  <si>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</si>
  <si>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</si>
  <si>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</si>
  <si>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</si>
  <si>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</si>
  <si>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</si>
  <si>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</si>
  <si>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</si>
  <si>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</si>
  <si>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</si>
  <si>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</si>
  <si>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</si>
  <si>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</si>
  <si>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</si>
  <si>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</si>
  <si>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</si>
  <si>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</si>
  <si>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</si>
  <si>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</si>
  <si>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</si>
  <si>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</si>
  <si>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</si>
  <si>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</si>
  <si>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</si>
  <si>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</si>
  <si>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</si>
  <si>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</si>
  <si>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</si>
  <si>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</si>
  <si>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</si>
  <si>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</si>
  <si>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</si>
  <si>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</si>
  <si>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</si>
  <si>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</si>
  <si>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</si>
  <si>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</si>
  <si>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</si>
  <si>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</si>
  <si>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</si>
  <si>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</si>
  <si>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</si>
  <si>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</si>
  <si>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</si>
  <si>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</si>
  <si>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</si>
  <si>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</si>
  <si>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</si>
  <si>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</si>
  <si>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</si>
  <si>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</si>
  <si>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t>DETALLE</t>
  </si>
  <si>
    <t xml:space="preserve">INSTITUTO DE DESARROLLO Y CREDITO COOPERATIVO </t>
  </si>
  <si>
    <t>IDECOOP</t>
  </si>
  <si>
    <t>Licda Bernarda Gómez</t>
  </si>
  <si>
    <t>2.1-RENUMERACIONES Y CONTRIBUCIONES</t>
  </si>
  <si>
    <r>
      <rPr>
        <b/>
        <sz val="55"/>
        <color theme="1"/>
        <rFont val="Arial Black"/>
        <family val="2"/>
      </rPr>
      <t>Presupuesto Aprobado:</t>
    </r>
    <r>
      <rPr>
        <b/>
        <sz val="55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</si>
  <si>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55"/>
        <color theme="1"/>
        <rFont val="Arial Black"/>
        <family val="2"/>
      </rPr>
      <t xml:space="preserve">Presupuesto Modificado: </t>
    </r>
    <r>
      <rPr>
        <b/>
        <sz val="55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</si>
  <si>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55"/>
        <color theme="1"/>
        <rFont val="Arial Black"/>
        <family val="2"/>
      </rPr>
      <t>Total Devengado:</t>
    </r>
    <r>
      <rPr>
        <b/>
        <sz val="55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</si>
  <si>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 xml:space="preserve">  </t>
  </si>
  <si>
    <t>EJECUCION PRESUPUESTARIA AL  31 DE DICIEMBRE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</si>
</sst>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55"/>
      <color theme="1"/>
      <name val="Arial Black"/>
      <family val="2"/>
    </font>
    <font>
      <b/>
      <sz val="58"/>
      <color theme="1"/>
      <name val="Arial Black"/>
      <family val="2"/>
    </font>
    <font>
      <b/>
      <u/>
      <sz val="82"/>
      <color theme="1"/>
      <name val="Arial"/>
      <family val="2"/>
    </font>
    <font>
      <b/>
      <sz val="82"/>
      <color theme="1"/>
      <name val="Arial Black"/>
      <family val="2"/>
    </font>
    <font>
      <b/>
      <sz val="95"/>
      <color theme="1"/>
      <name val="Arial Black"/>
      <family val="2"/>
    </font>
    <font>
      <b/>
      <sz val="95"/>
      <color theme="1"/>
      <name val="Calibri"/>
      <family val="2"/>
      <scheme val="minor"/>
    </font>
    <font>
      <b/>
      <sz val="82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8">
    <xf numFmtId="0" fontId="0" fillId="0" borderId="0" xfId="0"/>
    <xf numFmtId="4" fontId="4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/>
    <xf numFmtId="43" fontId="8" fillId="0" borderId="0" xfId="0" applyNumberFormat="1" applyFont="1" applyAlignment="1">
      <alignment vertical="center"/>
    </xf>
    <xf numFmtId="164" fontId="8" fillId="0" borderId="0" xfId="1" applyFont="1" applyAlignment="1"/>
    <xf numFmtId="3" fontId="8" fillId="0" borderId="0" xfId="0" applyNumberFormat="1" applyFont="1" applyAlignment="1"/>
    <xf numFmtId="164" fontId="8" fillId="3" borderId="0" xfId="0" applyNumberFormat="1" applyFont="1" applyFill="1" applyAlignment="1"/>
    <xf numFmtId="4" fontId="8" fillId="3" borderId="0" xfId="0" applyNumberFormat="1" applyFont="1" applyFill="1" applyAlignment="1"/>
    <xf numFmtId="4" fontId="9" fillId="3" borderId="0" xfId="0" applyNumberFormat="1" applyFont="1" applyFill="1" applyAlignment="1"/>
    <xf numFmtId="165" fontId="8" fillId="0" borderId="0" xfId="0" applyNumberFormat="1" applyFont="1" applyAlignment="1">
      <alignment vertical="center"/>
    </xf>
    <xf numFmtId="0" fontId="8" fillId="0" borderId="0" xfId="0" applyFont="1" applyAlignment="1"/>
    <xf numFmtId="0" fontId="8" fillId="3" borderId="0" xfId="0" applyFont="1" applyFill="1" applyAlignment="1"/>
    <xf numFmtId="0" fontId="8" fillId="3" borderId="0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164" fontId="8" fillId="0" borderId="0" xfId="0" applyNumberFormat="1" applyFont="1" applyAlignment="1"/>
    <xf numFmtId="0" fontId="12" fillId="0" borderId="0" xfId="0" applyFont="1" applyAlignment="1"/>
    <xf numFmtId="4" fontId="2" fillId="3" borderId="0" xfId="0" applyNumberFormat="1" applyFont="1" applyFill="1" applyAlignment="1"/>
    <xf numFmtId="164" fontId="2" fillId="0" borderId="0" xfId="1" applyFont="1" applyAlignment="1"/>
    <xf numFmtId="0" fontId="2" fillId="3" borderId="0" xfId="0" applyFont="1" applyFill="1" applyAlignment="1"/>
    <xf numFmtId="0" fontId="6" fillId="0" borderId="0" xfId="0" applyFont="1" applyAlignment="1">
      <alignment horizontal="left"/>
    </xf>
    <xf numFmtId="0" fontId="2" fillId="5" borderId="0" xfId="0" applyFont="1" applyFill="1" applyAlignment="1"/>
    <xf numFmtId="4" fontId="2" fillId="5" borderId="0" xfId="0" applyNumberFormat="1" applyFont="1" applyFill="1" applyAlignment="1"/>
    <xf numFmtId="4" fontId="3" fillId="5" borderId="0" xfId="0" applyNumberFormat="1" applyFont="1" applyFill="1" applyAlignment="1"/>
    <xf numFmtId="0" fontId="2" fillId="4" borderId="0" xfId="0" applyFont="1" applyFill="1" applyAlignment="1"/>
    <xf numFmtId="4" fontId="3" fillId="3" borderId="0" xfId="0" applyNumberFormat="1" applyFont="1" applyFill="1" applyAlignment="1"/>
    <xf numFmtId="0" fontId="4" fillId="0" borderId="1" xfId="0" applyFont="1" applyBorder="1" applyAlignment="1">
      <alignment horizontal="left" vertical="center"/>
    </xf>
    <xf numFmtId="4" fontId="4" fillId="3" borderId="1" xfId="1" applyNumberFormat="1" applyFont="1" applyFill="1" applyBorder="1" applyAlignment="1">
      <alignment horizontal="left" vertical="center"/>
    </xf>
    <xf numFmtId="164" fontId="4" fillId="0" borderId="1" xfId="1" applyFont="1" applyBorder="1" applyAlignment="1">
      <alignment horizontal="left" vertical="center"/>
    </xf>
    <xf numFmtId="164" fontId="4" fillId="3" borderId="1" xfId="1" applyFont="1" applyFill="1" applyBorder="1" applyAlignment="1">
      <alignment horizontal="left" vertical="center"/>
    </xf>
    <xf numFmtId="4" fontId="5" fillId="3" borderId="1" xfId="1" applyNumberFormat="1" applyFont="1" applyFill="1" applyBorder="1" applyAlignment="1">
      <alignment horizontal="left" vertical="center"/>
    </xf>
    <xf numFmtId="164" fontId="7" fillId="0" borderId="1" xfId="1" applyFont="1" applyBorder="1" applyAlignment="1">
      <alignment horizontal="left" vertical="center"/>
    </xf>
    <xf numFmtId="164" fontId="11" fillId="0" borderId="0" xfId="1" applyFont="1" applyAlignment="1">
      <alignment horizontal="left" vertical="center"/>
    </xf>
    <xf numFmtId="164" fontId="7" fillId="0" borderId="0" xfId="1" applyFont="1" applyAlignment="1">
      <alignment horizontal="left" vertical="center"/>
    </xf>
    <xf numFmtId="4" fontId="7" fillId="3" borderId="0" xfId="1" applyNumberFormat="1" applyFont="1" applyFill="1" applyAlignment="1"/>
    <xf numFmtId="164" fontId="7" fillId="3" borderId="0" xfId="1" applyFont="1" applyFill="1" applyAlignment="1"/>
    <xf numFmtId="164" fontId="8" fillId="0" borderId="0" xfId="1" applyFont="1" applyAlignment="1">
      <alignment horizontal="left" vertical="center"/>
    </xf>
    <xf numFmtId="4" fontId="8" fillId="0" borderId="0" xfId="0" applyNumberFormat="1" applyFont="1" applyAlignment="1"/>
    <xf numFmtId="164" fontId="8" fillId="3" borderId="0" xfId="1" applyFont="1" applyFill="1" applyBorder="1" applyAlignment="1"/>
    <xf numFmtId="164" fontId="8" fillId="3" borderId="0" xfId="1" applyFont="1" applyFill="1" applyAlignment="1"/>
    <xf numFmtId="4" fontId="8" fillId="3" borderId="0" xfId="1" applyNumberFormat="1" applyFont="1" applyFill="1" applyAlignment="1"/>
    <xf numFmtId="4" fontId="9" fillId="3" borderId="0" xfId="1" applyNumberFormat="1" applyFont="1" applyFill="1" applyAlignment="1"/>
    <xf numFmtId="164" fontId="8" fillId="0" borderId="0" xfId="1" applyFont="1" applyAlignment="1">
      <alignment vertical="center"/>
    </xf>
    <xf numFmtId="43" fontId="8" fillId="0" borderId="0" xfId="0" applyNumberFormat="1" applyFont="1" applyAlignment="1"/>
    <xf numFmtId="43" fontId="8" fillId="3" borderId="0" xfId="0" applyNumberFormat="1" applyFont="1" applyFill="1" applyAlignment="1"/>
    <xf numFmtId="4" fontId="10" fillId="3" borderId="0" xfId="1" applyNumberFormat="1" applyFont="1" applyFill="1" applyAlignment="1"/>
    <xf numFmtId="4" fontId="7" fillId="3" borderId="0" xfId="0" applyNumberFormat="1" applyFont="1" applyFill="1" applyAlignment="1"/>
    <xf numFmtId="164" fontId="8" fillId="3" borderId="0" xfId="0" applyNumberFormat="1" applyFont="1" applyFill="1" applyBorder="1" applyAlignment="1"/>
    <xf numFmtId="164" fontId="9" fillId="3" borderId="0" xfId="1" applyFont="1" applyFill="1" applyBorder="1" applyAlignment="1"/>
    <xf numFmtId="43" fontId="8" fillId="3" borderId="0" xfId="0" applyNumberFormat="1" applyFont="1" applyFill="1" applyBorder="1" applyAlignment="1"/>
    <xf numFmtId="3" fontId="8" fillId="3" borderId="0" xfId="0" applyNumberFormat="1" applyFont="1" applyFill="1" applyAlignment="1"/>
    <xf numFmtId="165" fontId="8" fillId="0" borderId="0" xfId="0" applyNumberFormat="1" applyFont="1" applyAlignment="1"/>
    <xf numFmtId="165" fontId="8" fillId="3" borderId="0" xfId="0" applyNumberFormat="1" applyFont="1" applyFill="1" applyBorder="1" applyAlignment="1"/>
    <xf numFmtId="165" fontId="8" fillId="3" borderId="0" xfId="0" applyNumberFormat="1" applyFont="1" applyFill="1" applyAlignment="1"/>
    <xf numFmtId="39" fontId="8" fillId="3" borderId="0" xfId="0" applyNumberFormat="1" applyFont="1" applyFill="1" applyAlignment="1"/>
    <xf numFmtId="43" fontId="7" fillId="2" borderId="0" xfId="0" applyNumberFormat="1" applyFont="1" applyFill="1" applyBorder="1" applyAlignment="1">
      <alignment horizontal="left" vertical="center"/>
    </xf>
    <xf numFmtId="165" fontId="7" fillId="2" borderId="2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center" vertical="center"/>
    </xf>
    <xf numFmtId="164" fontId="7" fillId="2" borderId="0" xfId="1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" fontId="7" fillId="3" borderId="1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4" fontId="7" fillId="0" borderId="1" xfId="1" applyFont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43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3" fontId="8" fillId="0" borderId="0" xfId="0" applyNumberFormat="1" applyFont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4" fontId="7" fillId="2" borderId="2" xfId="0" applyNumberFormat="1" applyFont="1" applyFill="1" applyBorder="1" applyAlignment="1">
      <alignment horizontal="right" vertical="center"/>
    </xf>
    <xf numFmtId="43" fontId="7" fillId="2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3" fontId="7" fillId="0" borderId="0" xfId="0" applyNumberFormat="1" applyFont="1" applyAlignment="1"/>
    <xf numFmtId="4" fontId="7" fillId="2" borderId="0" xfId="0" applyNumberFormat="1" applyFont="1" applyFill="1" applyBorder="1" applyAlignment="1">
      <alignment horizontal="right" vertical="center"/>
    </xf>
    <xf numFmtId="43" fontId="12" fillId="0" borderId="0" xfId="0" applyNumberFormat="1" applyFont="1" applyAlignment="1"/>
    <xf numFmtId="0" fontId="6" fillId="0" borderId="0" xfId="0" applyFont="1" applyAlignment="1"/>
    <xf numFmtId="0" fontId="4" fillId="0" borderId="0" xfId="0" applyFont="1" applyAlignment="1"/>
    <xf numFmtId="164" fontId="2" fillId="0" borderId="0" xfId="0" applyNumberFormat="1" applyFont="1" applyAlignment="1"/>
    <xf numFmtId="4" fontId="2" fillId="0" borderId="0" xfId="0" applyNumberFormat="1" applyFont="1" applyAlignment="1"/>
    <xf numFmtId="164" fontId="3" fillId="5" borderId="0" xfId="1" applyFont="1" applyFill="1" applyAlignment="1"/>
    <xf numFmtId="0" fontId="2" fillId="3" borderId="0" xfId="0" applyFont="1" applyFill="1" applyAlignment="1">
      <alignment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3" fillId="0" borderId="1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4" fontId="12" fillId="0" borderId="0" xfId="0" applyNumberFormat="1" applyFont="1" applyAlignment="1">
      <alignment wrapText="1"/>
    </xf>
    <xf numFmtId="0" fontId="20" fillId="2" borderId="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164" fontId="21" fillId="2" borderId="3" xfId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164" fontId="21" fillId="2" borderId="0" xfId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4" fontId="21" fillId="2" borderId="3" xfId="0" applyNumberFormat="1" applyFont="1" applyFill="1" applyBorder="1" applyAlignment="1">
      <alignment horizontal="center" vertical="center" wrapText="1"/>
    </xf>
    <xf numFmtId="4" fontId="21" fillId="2" borderId="0" xfId="0" applyNumberFormat="1" applyFont="1" applyFill="1" applyBorder="1" applyAlignment="1">
      <alignment horizontal="center" vertical="center" wrapText="1"/>
    </xf>
    <xf numFmtId="43" fontId="8" fillId="3" borderId="0" xfId="1" applyNumberFormat="1" applyFont="1" applyFill="1" applyAlignment="1"/>
    <xf numFmtId="164" fontId="7" fillId="3" borderId="0" xfId="1" applyFont="1" applyFill="1" applyAlignment="1">
      <alignment horizontal="left" vertical="center"/>
    </xf>
    <xf numFmtId="4" fontId="12" fillId="3" borderId="0" xfId="0" applyNumberFormat="1" applyFont="1" applyFill="1" applyAlignment="1"/>
    <xf numFmtId="0" fontId="6" fillId="3" borderId="0" xfId="0" applyFont="1" applyFill="1" applyAlignment="1">
      <alignment horizontal="left"/>
    </xf>
    <xf numFmtId="4" fontId="4" fillId="3" borderId="0" xfId="0" applyNumberFormat="1" applyFont="1" applyFill="1" applyAlignment="1"/>
    <xf numFmtId="43" fontId="7" fillId="0" borderId="1" xfId="0" applyNumberFormat="1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43" fontId="22" fillId="0" borderId="0" xfId="0" applyNumberFormat="1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16470752</xdr:colOff>
      <xdr:row>1</xdr:row>
      <xdr:rowOff>386139</xdr:rowOff>
    </xdr:from>
    <xdr:to>
      <xdr:col>2</xdr:col>
      <xdr:colOff>4762500</xdr:colOff>
      <xdr:row>7</xdr:row>
      <xdr:rowOff>2807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0752" y="1842904"/>
          <a:ext cx="11319836" cy="8637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3"/>
  <sheetViews>
    <sheetView tabSelected="1" view="pageBreakPreview" topLeftCell="D1" zoomScale="15" zoomScaleNormal="15" zoomScaleSheetLayoutView="15" zoomScalePageLayoutView="23" workbookViewId="0">
      <selection activeCell="P2" sqref="P2"/>
    </sheetView>
  </sheetViews>
  <sheetFormatPr baseColWidth="10" defaultColWidth="9.140625" defaultRowHeight="114.95" customHeight="1" x14ac:dyDescent="1.35"/>
  <cols>
    <col min="1" max="1" width="254.7109375" style="89" customWidth="1"/>
    <col min="2" max="2" width="90.5703125" style="4" customWidth="1"/>
    <col min="3" max="3" width="91.7109375" style="4" customWidth="1"/>
    <col min="4" max="4" width="90.7109375" style="18" customWidth="1"/>
    <col min="5" max="5" width="78.28515625" style="4" bestFit="1" customWidth="1"/>
    <col min="6" max="6" width="86.7109375" style="19" bestFit="1" customWidth="1"/>
    <col min="7" max="7" width="83.7109375" style="19" customWidth="1"/>
    <col min="8" max="8" width="83.7109375" style="4" customWidth="1"/>
    <col min="9" max="9" width="92.85546875" style="20" customWidth="1"/>
    <col min="10" max="10" width="88.7109375" style="4" customWidth="1"/>
    <col min="11" max="11" width="87.28515625" style="22" customWidth="1"/>
    <col min="12" max="12" width="94.28515625" style="22" customWidth="1"/>
    <col min="13" max="13" width="88.5703125" style="23" customWidth="1"/>
    <col min="14" max="14" width="107.28515625" style="24" customWidth="1"/>
    <col min="15" max="15" width="111.5703125" style="25" customWidth="1"/>
    <col min="16" max="16" width="111.5703125" style="12" customWidth="1"/>
    <col min="17" max="17" width="61.5703125" style="4" customWidth="1"/>
    <col min="18" max="16384" width="9.140625" style="4"/>
  </cols>
  <sheetData>
    <row r="1" spans="1:16" ht="114.95" customHeight="1" x14ac:dyDescent="1.35">
      <c r="K1" s="20"/>
      <c r="L1" s="20"/>
      <c r="M1" s="18"/>
      <c r="N1" s="26"/>
      <c r="O1" s="20"/>
    </row>
    <row r="2" spans="1:16" ht="114.95" customHeight="1" x14ac:dyDescent="1.35">
      <c r="K2" s="20"/>
      <c r="L2" s="20"/>
      <c r="M2" s="18"/>
      <c r="N2" s="26"/>
      <c r="O2" s="20"/>
    </row>
    <row r="3" spans="1:16" ht="114.95" customHeight="1" x14ac:dyDescent="1.35">
      <c r="K3" s="20"/>
      <c r="L3" s="20"/>
      <c r="M3" s="18"/>
      <c r="N3" s="26"/>
      <c r="O3" s="20"/>
    </row>
    <row r="4" spans="1:16" ht="114.95" customHeight="1" x14ac:dyDescent="2.65">
      <c r="A4" s="125" t="s">
        <v>94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</row>
    <row r="5" spans="1:16" ht="114.95" customHeight="1" x14ac:dyDescent="2.65">
      <c r="A5" s="125" t="s">
        <v>95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</row>
    <row r="6" spans="1:16" ht="136.5" customHeight="1" x14ac:dyDescent="2.2999999999999998">
      <c r="A6" s="126" t="s">
        <v>102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</row>
    <row r="7" spans="1:16" ht="114.95" customHeight="1" x14ac:dyDescent="2.2999999999999998">
      <c r="A7" s="99"/>
      <c r="B7" s="99"/>
      <c r="C7" s="99"/>
      <c r="D7" s="112"/>
      <c r="E7" s="99"/>
      <c r="F7" s="99"/>
      <c r="G7" s="99"/>
      <c r="H7" s="99"/>
      <c r="I7" s="99"/>
      <c r="J7" s="99"/>
      <c r="K7" s="99"/>
      <c r="L7" s="20"/>
      <c r="M7" s="18"/>
      <c r="N7" s="26"/>
      <c r="O7" s="20"/>
    </row>
    <row r="8" spans="1:16" ht="114.95" customHeight="1" thickBot="1" x14ac:dyDescent="2.35">
      <c r="A8" s="99"/>
      <c r="B8" s="99"/>
      <c r="C8" s="99"/>
      <c r="D8" s="112"/>
      <c r="E8" s="99"/>
      <c r="F8" s="99"/>
      <c r="G8" s="99"/>
      <c r="H8" s="99"/>
      <c r="I8" s="99"/>
      <c r="J8" s="99"/>
      <c r="K8" s="99"/>
      <c r="L8" s="20"/>
      <c r="M8" s="18"/>
      <c r="N8" s="26"/>
      <c r="O8" s="20"/>
    </row>
    <row r="9" spans="1:16" s="86" customFormat="1" ht="195" customHeight="1" thickBot="1" x14ac:dyDescent="1.4">
      <c r="A9" s="98" t="s">
        <v>93</v>
      </c>
      <c r="B9" s="100" t="s">
        <v>90</v>
      </c>
      <c r="C9" s="101" t="s">
        <v>91</v>
      </c>
      <c r="D9" s="113" t="s">
        <v>0</v>
      </c>
      <c r="E9" s="100" t="s">
        <v>1</v>
      </c>
      <c r="F9" s="102" t="s">
        <v>2</v>
      </c>
      <c r="G9" s="102" t="s">
        <v>3</v>
      </c>
      <c r="H9" s="103" t="s">
        <v>4</v>
      </c>
      <c r="I9" s="101" t="s">
        <v>5</v>
      </c>
      <c r="J9" s="104" t="s">
        <v>6</v>
      </c>
      <c r="K9" s="104" t="s">
        <v>7</v>
      </c>
      <c r="L9" s="103" t="s">
        <v>8</v>
      </c>
      <c r="M9" s="1" t="s">
        <v>9</v>
      </c>
      <c r="N9" s="2" t="s">
        <v>10</v>
      </c>
      <c r="O9" s="3" t="s">
        <v>11</v>
      </c>
      <c r="P9" s="15" t="s">
        <v>12</v>
      </c>
    </row>
    <row r="10" spans="1:16" s="86" customFormat="1" ht="114.95" customHeight="1" x14ac:dyDescent="1.35">
      <c r="A10" s="105"/>
      <c r="B10" s="106"/>
      <c r="C10" s="106"/>
      <c r="D10" s="114"/>
      <c r="E10" s="106"/>
      <c r="F10" s="107"/>
      <c r="G10" s="107"/>
      <c r="H10" s="106"/>
      <c r="I10" s="106"/>
      <c r="J10" s="106"/>
      <c r="K10" s="106"/>
      <c r="L10" s="106"/>
      <c r="M10" s="108"/>
      <c r="N10" s="109"/>
      <c r="O10" s="110"/>
      <c r="P10" s="111"/>
    </row>
    <row r="11" spans="1:16" ht="114.95" customHeight="1" x14ac:dyDescent="1.35">
      <c r="A11" s="90" t="s">
        <v>13</v>
      </c>
      <c r="B11" s="27"/>
      <c r="C11" s="27"/>
      <c r="D11" s="28"/>
      <c r="E11" s="29"/>
      <c r="F11" s="29"/>
      <c r="G11" s="29"/>
      <c r="H11" s="29"/>
      <c r="I11" s="30" t="s">
        <v>101</v>
      </c>
      <c r="J11" s="29"/>
      <c r="K11" s="30"/>
      <c r="L11" s="30"/>
      <c r="M11" s="28"/>
      <c r="N11" s="31"/>
      <c r="O11" s="30"/>
      <c r="P11" s="32"/>
    </row>
    <row r="12" spans="1:16" ht="114.95" customHeight="1" x14ac:dyDescent="1.35">
      <c r="A12" s="87" t="s">
        <v>97</v>
      </c>
      <c r="B12" s="33">
        <f t="shared" ref="B12:N12" si="0">SUM(B13:B17)</f>
        <v>267886394</v>
      </c>
      <c r="C12" s="34">
        <f t="shared" si="0"/>
        <v>7092915</v>
      </c>
      <c r="D12" s="35">
        <f>SUM(D13:D17)</f>
        <v>261432413.95000005</v>
      </c>
      <c r="E12" s="35">
        <f t="shared" si="0"/>
        <v>0</v>
      </c>
      <c r="F12" s="35">
        <f t="shared" si="0"/>
        <v>36884383.100000001</v>
      </c>
      <c r="G12" s="35">
        <f t="shared" si="0"/>
        <v>18189782.940000005</v>
      </c>
      <c r="H12" s="36">
        <f t="shared" si="0"/>
        <v>18315460.829999994</v>
      </c>
      <c r="I12" s="36">
        <f t="shared" si="0"/>
        <v>21902385.099999994</v>
      </c>
      <c r="J12" s="36">
        <f t="shared" si="0"/>
        <v>18174841.190000005</v>
      </c>
      <c r="K12" s="36">
        <f t="shared" si="0"/>
        <v>21865167.239999998</v>
      </c>
      <c r="L12" s="36">
        <f t="shared" si="0"/>
        <v>18730876.99000001</v>
      </c>
      <c r="M12" s="36">
        <f t="shared" si="0"/>
        <v>18700115.789999988</v>
      </c>
      <c r="N12" s="36">
        <f t="shared" si="0"/>
        <v>33348852.589999989</v>
      </c>
      <c r="O12" s="36">
        <f>SUM(O13:O17)</f>
        <v>19339568.340000018</v>
      </c>
      <c r="P12" s="36">
        <f>SUM(P13:P17)</f>
        <v>35980979.840000011</v>
      </c>
    </row>
    <row r="13" spans="1:16" ht="114.95" customHeight="1" x14ac:dyDescent="1.35">
      <c r="A13" s="88" t="s">
        <v>14</v>
      </c>
      <c r="B13" s="37">
        <v>216206100</v>
      </c>
      <c r="C13" s="37">
        <v>6777205</v>
      </c>
      <c r="D13" s="115">
        <f>E13+F13+G13+H13+I13+J13+K13+L13+M13+N13+O13+P13</f>
        <v>212236004.53000003</v>
      </c>
      <c r="E13" s="38"/>
      <c r="F13" s="6">
        <f>31276776.4</f>
        <v>31276776.399999999</v>
      </c>
      <c r="G13" s="6">
        <f>46700164.6-E13-F13</f>
        <v>15423388.200000003</v>
      </c>
      <c r="H13" s="38">
        <f>62235052.8-E13-F13-G13</f>
        <v>15534888.199999996</v>
      </c>
      <c r="I13" s="9">
        <f>81340713.71-E13-F13-G13-H13</f>
        <v>19105660.909999996</v>
      </c>
      <c r="J13" s="38">
        <f>96739601.91-E13-F13-G13-H13-I13</f>
        <v>15398888.200000003</v>
      </c>
      <c r="K13" s="39">
        <f>115791629.56-E13-F13-G13-H13-I13-J13</f>
        <v>19052027.649999999</v>
      </c>
      <c r="L13" s="40">
        <f>131627517.76-E13-F13-G13-H13-I13-J13-K13</f>
        <v>15835888.20000001</v>
      </c>
      <c r="M13" s="41">
        <f>147445405.96-E13-F13-G13-H13-I13-J13-K13-L13</f>
        <v>15817888.199999988</v>
      </c>
      <c r="N13" s="42">
        <f>163180494.16-E13-F13-G13-H13-I13-J13-K13-L13-M13</f>
        <v>15735088.199999988</v>
      </c>
      <c r="O13" s="40">
        <f>179176582.36-E13-F13-G13-H13-I13-J13-K13-L13-M13-N13</f>
        <v>15996088.200000018</v>
      </c>
      <c r="P13" s="6">
        <f>212236004.53-E13-F13-G13-H13-I13-J13-K13-L13-M13-N13-O13</f>
        <v>33059422.170000017</v>
      </c>
    </row>
    <row r="14" spans="1:16" ht="114.95" customHeight="1" x14ac:dyDescent="1.35">
      <c r="A14" s="88" t="s">
        <v>15</v>
      </c>
      <c r="B14" s="37">
        <v>20710294</v>
      </c>
      <c r="C14" s="37">
        <v>1475710</v>
      </c>
      <c r="D14" s="115">
        <f t="shared" ref="D14:D17" si="1">E14+F14+G14+H14+I14+J14+K14+L14+M14+N14+O14+P14</f>
        <v>20453154.989999998</v>
      </c>
      <c r="E14" s="38"/>
      <c r="F14" s="6">
        <f>833000-E14</f>
        <v>833000</v>
      </c>
      <c r="G14" s="6">
        <f>1245000-E14-F14</f>
        <v>412000</v>
      </c>
      <c r="H14" s="38">
        <f>1652000-E14-F14-G14</f>
        <v>407000</v>
      </c>
      <c r="I14" s="9">
        <f>2069000-E14-F14-G14-H14</f>
        <v>417000</v>
      </c>
      <c r="J14" s="38">
        <f>2491000-E14-F14-G14-H14-I14</f>
        <v>422000</v>
      </c>
      <c r="K14" s="39">
        <f>2935000-E14-F14-G14-H14-I14-J14</f>
        <v>444000</v>
      </c>
      <c r="L14" s="9">
        <f>3409000-E14-F14-G14-H14-I14-J14-K14</f>
        <v>474000</v>
      </c>
      <c r="M14" s="9">
        <f>3873000-E14-F14-G14-H14-I14-J14-K14-L14</f>
        <v>464000</v>
      </c>
      <c r="N14" s="10">
        <f>19081238.32-E14-F14-G14-H14-I14-J14-K14-L14-M14</f>
        <v>15208238.32</v>
      </c>
      <c r="O14" s="8">
        <f>19979154.99-E14-F14-G14-H14-I14-J14-K14-L14-M14-N14</f>
        <v>897916.66999999806</v>
      </c>
      <c r="P14" s="16">
        <f>20453154.99-E14-F14-G14-H14-I14-J14-K14-L14-M14-N14-O14</f>
        <v>474000</v>
      </c>
    </row>
    <row r="15" spans="1:16" ht="114.95" customHeight="1" x14ac:dyDescent="1.35">
      <c r="A15" s="88" t="s">
        <v>16</v>
      </c>
      <c r="B15" s="37">
        <v>50000</v>
      </c>
      <c r="C15" s="37"/>
      <c r="D15" s="115">
        <f t="shared" si="1"/>
        <v>0</v>
      </c>
      <c r="E15" s="11">
        <v>0</v>
      </c>
      <c r="F15" s="43">
        <v>0</v>
      </c>
      <c r="G15" s="6">
        <v>0</v>
      </c>
      <c r="H15" s="38">
        <v>0</v>
      </c>
      <c r="I15" s="38">
        <f>0-E15+F15+G15+H15</f>
        <v>0</v>
      </c>
      <c r="J15" s="38">
        <v>0</v>
      </c>
      <c r="K15" s="9">
        <v>0</v>
      </c>
      <c r="L15" s="8">
        <v>0</v>
      </c>
      <c r="M15" s="9">
        <v>0</v>
      </c>
      <c r="N15" s="10">
        <v>0</v>
      </c>
      <c r="O15" s="8">
        <v>0</v>
      </c>
      <c r="P15" s="16">
        <v>0</v>
      </c>
    </row>
    <row r="16" spans="1:16" ht="114.95" customHeight="1" x14ac:dyDescent="1.35">
      <c r="A16" s="88" t="s">
        <v>17</v>
      </c>
      <c r="B16" s="37">
        <v>0</v>
      </c>
      <c r="C16" s="37">
        <v>0</v>
      </c>
      <c r="D16" s="115">
        <f t="shared" si="1"/>
        <v>0</v>
      </c>
      <c r="E16" s="11">
        <v>0</v>
      </c>
      <c r="F16" s="43"/>
      <c r="G16" s="6">
        <v>0</v>
      </c>
      <c r="H16" s="44">
        <v>0</v>
      </c>
      <c r="I16" s="13">
        <v>0</v>
      </c>
      <c r="J16" s="38">
        <v>0</v>
      </c>
      <c r="K16" s="39">
        <v>0</v>
      </c>
      <c r="L16" s="13">
        <v>0</v>
      </c>
      <c r="M16" s="9">
        <v>0</v>
      </c>
      <c r="N16" s="10">
        <v>0</v>
      </c>
      <c r="O16" s="45">
        <v>0</v>
      </c>
      <c r="P16" s="12">
        <v>0</v>
      </c>
    </row>
    <row r="17" spans="1:16" ht="114.95" customHeight="1" x14ac:dyDescent="1.35">
      <c r="A17" s="88" t="s">
        <v>18</v>
      </c>
      <c r="B17" s="37">
        <v>30920000</v>
      </c>
      <c r="C17" s="37">
        <v>-1160000</v>
      </c>
      <c r="D17" s="115">
        <f t="shared" si="1"/>
        <v>28743254.43</v>
      </c>
      <c r="E17" s="38"/>
      <c r="F17" s="6">
        <f>4774606.7-E17</f>
        <v>4774606.7</v>
      </c>
      <c r="G17" s="6">
        <f>7129001.44-E17-F17</f>
        <v>2354394.7400000002</v>
      </c>
      <c r="H17" s="38">
        <f>9502574.07-E17-F17-G17</f>
        <v>2373572.63</v>
      </c>
      <c r="I17" s="9">
        <f>11882298.26-E17-F17-G17-H17</f>
        <v>2379724.1899999995</v>
      </c>
      <c r="J17" s="38">
        <f>14236251.25-E17-F17-G17-H17-I17</f>
        <v>2353952.9900000012</v>
      </c>
      <c r="K17" s="39">
        <f>16605390.84-E17-F17-G17-H17-I17-J17</f>
        <v>2369139.59</v>
      </c>
      <c r="L17" s="8">
        <f>19026379.63-E17-F17-G17-H17-I17-J17-K17</f>
        <v>2420988.7899999982</v>
      </c>
      <c r="M17" s="9">
        <f>21444607.22-E17-F17-G17-H17-I17-J17-K17-L17</f>
        <v>2418227.59</v>
      </c>
      <c r="N17" s="10">
        <f>23850133.29-E17-F17-G17-H17-I17-J17-K17-L17-M17</f>
        <v>2405526.0700000012</v>
      </c>
      <c r="O17" s="8">
        <f>26295696.76-E17-F17-G17-H17-I17-J17-K17-L17-M17-N17</f>
        <v>2445563.4700000025</v>
      </c>
      <c r="P17" s="16">
        <f>28743254.43-E17-F17-G17-H17-I17-J17-K17-L17-M17-N17-O17</f>
        <v>2447557.6699999971</v>
      </c>
    </row>
    <row r="18" spans="1:16" ht="114.95" customHeight="1" x14ac:dyDescent="1.35">
      <c r="A18" s="87" t="s">
        <v>19</v>
      </c>
      <c r="B18" s="34">
        <f t="shared" ref="B18:P18" si="2">SUM(B19:B27)</f>
        <v>47403392</v>
      </c>
      <c r="C18" s="34">
        <f>SUM(C19:C27)</f>
        <v>4344893.540000001</v>
      </c>
      <c r="D18" s="34">
        <f>SUM(D19:D27)</f>
        <v>38157887.949999996</v>
      </c>
      <c r="E18" s="35">
        <f t="shared" si="2"/>
        <v>781070.9</v>
      </c>
      <c r="F18" s="46">
        <f t="shared" si="2"/>
        <v>3640391.5299999993</v>
      </c>
      <c r="G18" s="46">
        <f t="shared" si="2"/>
        <v>2407860.7300000004</v>
      </c>
      <c r="H18" s="46">
        <f t="shared" si="2"/>
        <v>1716268.7599999998</v>
      </c>
      <c r="I18" s="46">
        <f t="shared" si="2"/>
        <v>2108046.17</v>
      </c>
      <c r="J18" s="46">
        <f t="shared" si="2"/>
        <v>1758967.2899999998</v>
      </c>
      <c r="K18" s="46">
        <f t="shared" si="2"/>
        <v>2751617.33</v>
      </c>
      <c r="L18" s="46">
        <f t="shared" si="2"/>
        <v>3550549.9600000009</v>
      </c>
      <c r="M18" s="46">
        <f t="shared" si="2"/>
        <v>2587701.4300000002</v>
      </c>
      <c r="N18" s="46">
        <f t="shared" si="2"/>
        <v>3083972.6999999993</v>
      </c>
      <c r="O18" s="46">
        <f t="shared" si="2"/>
        <v>6881367.6299999971</v>
      </c>
      <c r="P18" s="46">
        <f t="shared" si="2"/>
        <v>6890073.5199999996</v>
      </c>
    </row>
    <row r="19" spans="1:16" ht="114.95" customHeight="1" x14ac:dyDescent="1.35">
      <c r="A19" s="88" t="s">
        <v>20</v>
      </c>
      <c r="B19" s="37">
        <v>11075000</v>
      </c>
      <c r="C19" s="37">
        <v>390000</v>
      </c>
      <c r="D19" s="115">
        <f>E19+F19+G19+H19+I19+J19+K19+L19+M19+N19+O19+P19</f>
        <v>11368769.219999999</v>
      </c>
      <c r="E19" s="5">
        <v>781070.9</v>
      </c>
      <c r="F19" s="6">
        <f>1631078.96-E19</f>
        <v>850008.05999999994</v>
      </c>
      <c r="G19" s="6">
        <f>2553101.74-E19-F19</f>
        <v>922022.78000000038</v>
      </c>
      <c r="H19" s="38">
        <f>3458837.96-E19-F19-G19</f>
        <v>905736.21999999962</v>
      </c>
      <c r="I19" s="9">
        <f>4408955.3-E19-F19-G19-H19</f>
        <v>950117.34</v>
      </c>
      <c r="J19" s="38">
        <f>5323743.23-E19-F19-G19-H19-I19</f>
        <v>914787.93</v>
      </c>
      <c r="K19" s="39">
        <f>6257529.8-E19-F19-G19-H19-I19-J19</f>
        <v>933786.57</v>
      </c>
      <c r="L19" s="8">
        <f>7367258.18-E19-F19-G19-H19-I19-J19-K19</f>
        <v>1109728.3799999999</v>
      </c>
      <c r="M19" s="9">
        <f>8373115.06-E19-F19-G19-H19-I19-J19-K19-L19</f>
        <v>1005856.8799999999</v>
      </c>
      <c r="N19" s="10">
        <f>9379641.51-E19-F19-G19-H19-I19-J19-K19-L19-M19</f>
        <v>1006526.4500000002</v>
      </c>
      <c r="O19" s="8">
        <f>10416946.62-E19-F19-G19-H19-I19-J19-K19-L19-M19-N19</f>
        <v>1037305.1099999989</v>
      </c>
      <c r="P19" s="16">
        <f>11368769.22-E19-F19-G19-H19-I19-J19-K19-L19-M19-N19-O19</f>
        <v>951822.60000000009</v>
      </c>
    </row>
    <row r="20" spans="1:16" ht="168" customHeight="1" x14ac:dyDescent="1.35">
      <c r="A20" s="88" t="s">
        <v>21</v>
      </c>
      <c r="B20" s="37">
        <v>2532392</v>
      </c>
      <c r="C20" s="37">
        <v>951673</v>
      </c>
      <c r="D20" s="115">
        <f t="shared" ref="D20:D27" si="3">E20+F20+G20+H20+I20+J20+K20+L20+M20+N20+O20+P20</f>
        <v>2758496.73</v>
      </c>
      <c r="E20" s="11">
        <v>0</v>
      </c>
      <c r="F20" s="43">
        <v>0</v>
      </c>
      <c r="G20" s="6">
        <v>0</v>
      </c>
      <c r="H20" s="16">
        <v>0</v>
      </c>
      <c r="I20" s="8">
        <f>533478-E20-F20-G20-H20</f>
        <v>533478</v>
      </c>
      <c r="J20" s="16">
        <f>533478-E20-F20-G20-H20-I20</f>
        <v>0</v>
      </c>
      <c r="K20" s="48">
        <f>533478-E20-F20-G20-H20-I20-J20</f>
        <v>0</v>
      </c>
      <c r="L20" s="45">
        <f>533478-E20-F20-G20-H20-I20-J20-K20</f>
        <v>0</v>
      </c>
      <c r="M20" s="9">
        <f>910478-E20-F20-G20-H20-I20-J20-K20-L20</f>
        <v>377000</v>
      </c>
      <c r="N20" s="10">
        <f>1140523.56-E20-F20-G20-H20-I20-J20-K20-L20-M20</f>
        <v>230045.56000000006</v>
      </c>
      <c r="O20" s="40">
        <f>1985371.86-E20-F20-G20-H20-I20-J20-K20-L20-M20-N20</f>
        <v>844848.3</v>
      </c>
      <c r="P20" s="44">
        <f>2758496.73-E20-F20-G20-H20-I20-J20-K20-L20-M20-N20-O20</f>
        <v>773124.86999999988</v>
      </c>
    </row>
    <row r="21" spans="1:16" ht="114.95" customHeight="1" x14ac:dyDescent="1.35">
      <c r="A21" s="88" t="s">
        <v>22</v>
      </c>
      <c r="B21" s="37">
        <v>6000000</v>
      </c>
      <c r="C21" s="37">
        <v>-3540180</v>
      </c>
      <c r="D21" s="115">
        <f t="shared" si="3"/>
        <v>976656.36</v>
      </c>
      <c r="E21" s="11">
        <v>0</v>
      </c>
      <c r="F21" s="43">
        <v>0</v>
      </c>
      <c r="G21" s="6">
        <v>0</v>
      </c>
      <c r="H21" s="38">
        <v>0</v>
      </c>
      <c r="I21" s="9">
        <v>0</v>
      </c>
      <c r="J21" s="38">
        <v>0</v>
      </c>
      <c r="K21" s="49">
        <f>182650-E21-F21-G21-H21-I21-J21</f>
        <v>182650</v>
      </c>
      <c r="L21" s="8">
        <f>581850-E21-F21-G21-H21-I21-J21-K21</f>
        <v>399200</v>
      </c>
      <c r="M21" s="9">
        <f>660027.5-E21-F21-G21-H21-I21-J21-K21-L21</f>
        <v>78177.5</v>
      </c>
      <c r="N21" s="10">
        <f>691307.5-E21-F21-G21-H21-I21-J21-K21-L21-M21</f>
        <v>31280</v>
      </c>
      <c r="O21" s="8">
        <f>840838.36-E21-F21-G21-H21-I21-J21-K21-L21-M21-N21</f>
        <v>149530.85999999999</v>
      </c>
      <c r="P21" s="16">
        <f>976656.36-E21-F21-G21-H21-I21-J21-K21-L21-M21-N21-O21</f>
        <v>135818</v>
      </c>
    </row>
    <row r="22" spans="1:16" ht="114.95" customHeight="1" x14ac:dyDescent="1.35">
      <c r="A22" s="88" t="s">
        <v>23</v>
      </c>
      <c r="B22" s="37">
        <v>1386000</v>
      </c>
      <c r="C22" s="37">
        <v>-552000</v>
      </c>
      <c r="D22" s="115">
        <f t="shared" si="3"/>
        <v>815000</v>
      </c>
      <c r="E22" s="11">
        <v>0</v>
      </c>
      <c r="F22" s="43">
        <v>0</v>
      </c>
      <c r="G22" s="6">
        <f>80000-E22-F22</f>
        <v>80000</v>
      </c>
      <c r="H22" s="38">
        <f>80000-E22-F22-G22</f>
        <v>0</v>
      </c>
      <c r="I22" s="9">
        <f>328000-E22-F22-G22-H22</f>
        <v>248000</v>
      </c>
      <c r="J22" s="38">
        <f>328000-E22-F22-G22-H22-I22</f>
        <v>0</v>
      </c>
      <c r="K22" s="39">
        <f>437000-E22-F22-G22-H22-I22-J22</f>
        <v>109000</v>
      </c>
      <c r="L22" s="8">
        <f>437000-E22-F22-G22-H22-I22-J22-K22</f>
        <v>0</v>
      </c>
      <c r="M22" s="9">
        <f>437000-E22-F22-G22-H22-I22-J22-K22-L22</f>
        <v>0</v>
      </c>
      <c r="N22" s="10">
        <f>437000-E22-F22-G22-H22-I22-J22-K22-L22-M22</f>
        <v>0</v>
      </c>
      <c r="O22" s="8">
        <f>437000-E22-F22-G22-H22-I22-J22-K22-L22-M22-N22</f>
        <v>0</v>
      </c>
      <c r="P22" s="44">
        <f>815000-E22-F22-G22-H22-I22-J22-K22-L22-M22-N22-O22</f>
        <v>378000</v>
      </c>
    </row>
    <row r="23" spans="1:16" ht="114.95" customHeight="1" x14ac:dyDescent="1.35">
      <c r="A23" s="88" t="s">
        <v>24</v>
      </c>
      <c r="B23" s="37">
        <v>5725000</v>
      </c>
      <c r="C23" s="37">
        <v>3777960</v>
      </c>
      <c r="D23" s="115">
        <f t="shared" si="3"/>
        <v>4589973.88</v>
      </c>
      <c r="E23" s="5">
        <v>0</v>
      </c>
      <c r="F23" s="43">
        <f>350268.04-E23</f>
        <v>350268.04</v>
      </c>
      <c r="G23" s="6">
        <f>469945.28-E23-F23</f>
        <v>119677.24000000005</v>
      </c>
      <c r="H23" s="38">
        <f>1032730.32-E23-F23-G23</f>
        <v>562785.04</v>
      </c>
      <c r="I23" s="9">
        <f>1071607.32-E23-F23-G23-H23</f>
        <v>38877</v>
      </c>
      <c r="J23" s="38">
        <f>1320330.13-E23-F23-G23-H23-I23</f>
        <v>248722.80999999982</v>
      </c>
      <c r="K23" s="50">
        <f>1308829.66-E23-F23-G23-H23-I23-J23</f>
        <v>-11500.469999999972</v>
      </c>
      <c r="L23" s="8">
        <f>1443201.5-E23-F23-G23-H23-I23-J23-K23</f>
        <v>134371.84000000008</v>
      </c>
      <c r="M23" s="9">
        <f>2289828.68-E23-F23-G23-H23-I23-J23-K23-L23</f>
        <v>846627.18000000017</v>
      </c>
      <c r="N23" s="10">
        <f>2585246.92-E23-F23-G23-H23-I23-J23-K23-L23-M23</f>
        <v>295418.23999999953</v>
      </c>
      <c r="O23" s="8">
        <f>2585246.92-E23-F23-G23-H23-I23-J23-K23-L23-M23-N23</f>
        <v>0</v>
      </c>
      <c r="P23" s="16">
        <f>4589973.88-E23-F23-G23-H23-I23-J23-K23-L23-M23-N23-O23</f>
        <v>2004726.9600000002</v>
      </c>
    </row>
    <row r="24" spans="1:16" ht="114.95" customHeight="1" x14ac:dyDescent="1.35">
      <c r="A24" s="88" t="s">
        <v>25</v>
      </c>
      <c r="B24" s="37">
        <v>3700000</v>
      </c>
      <c r="C24" s="37">
        <v>-200000</v>
      </c>
      <c r="D24" s="115">
        <f t="shared" si="3"/>
        <v>2289404.7299999995</v>
      </c>
      <c r="E24" s="5"/>
      <c r="F24" s="6">
        <f>480332.12-E24</f>
        <v>480332.12</v>
      </c>
      <c r="G24" s="6">
        <f>498057.82-E24-F24</f>
        <v>17725.700000000012</v>
      </c>
      <c r="H24" s="38">
        <f>513805.32-E24-F24-G24</f>
        <v>15747.5</v>
      </c>
      <c r="I24" s="9">
        <f>531038.41-E24-F24-G24-H24</f>
        <v>17233.090000000026</v>
      </c>
      <c r="J24" s="38">
        <f>553454.26-E24-F24-G24-H24-I24</f>
        <v>22415.849999999977</v>
      </c>
      <c r="K24" s="39">
        <f>572338.55-E24-F24-G24-H24-I24-J24</f>
        <v>18884.290000000037</v>
      </c>
      <c r="L24" s="8">
        <f>593669.94-E24-F24-G24-H24-I24-J24-K24</f>
        <v>21331.389999999898</v>
      </c>
      <c r="M24" s="9">
        <f>625909.81-E24-F24-G24-H24-I24-J24-K24-L24</f>
        <v>32239.870000000112</v>
      </c>
      <c r="N24" s="10">
        <f>850612.84-E24-F24-G24-H24-I24-J24-K24-L24-M24</f>
        <v>224703.02999999991</v>
      </c>
      <c r="O24" s="8">
        <f>890823.5-E24-F24-G24-H24-I24-J24-K24-L24-M24-N24</f>
        <v>40210.660000000033</v>
      </c>
      <c r="P24" s="16">
        <f>2289404.73-E24-F24-G24-H24-I24-J24-K24-L24-M24-N24-O24</f>
        <v>1398581.2299999995</v>
      </c>
    </row>
    <row r="25" spans="1:16" ht="195" customHeight="1" x14ac:dyDescent="1.35">
      <c r="A25" s="88" t="s">
        <v>26</v>
      </c>
      <c r="B25" s="37">
        <v>2000000</v>
      </c>
      <c r="C25" s="37">
        <v>10258669.800000001</v>
      </c>
      <c r="D25" s="115">
        <f t="shared" si="3"/>
        <v>11406374.849999998</v>
      </c>
      <c r="E25" s="11">
        <v>0</v>
      </c>
      <c r="F25" s="43">
        <f>1554783.3-E227</f>
        <v>1554783.3</v>
      </c>
      <c r="G25" s="6">
        <f>2427918.31-E25-F25</f>
        <v>873135.01</v>
      </c>
      <c r="H25" s="38">
        <f>2427918.31-E25-F25-G25</f>
        <v>0</v>
      </c>
      <c r="I25" s="9">
        <f>2596023.32-E25-F25-G25-H25</f>
        <v>168105.00999999978</v>
      </c>
      <c r="J25" s="38">
        <f>2746023.32-E25-F25-G25-H25-I25</f>
        <v>150000</v>
      </c>
      <c r="K25" s="39">
        <f>3911183.8-E25-F25-G25-H25-I25-J25</f>
        <v>1165160.4800000002</v>
      </c>
      <c r="L25" s="8">
        <f>5549102.15-E25-F25-G25-H25-I25-J25-K25</f>
        <v>1637918.3500000008</v>
      </c>
      <c r="M25" s="9">
        <f>5796902.15-E25-F25-G25-H25-I25-J25-K25-L25</f>
        <v>247800</v>
      </c>
      <c r="N25" s="10">
        <f>6596902.15-E25-F25-G25-H25-I25-J25-K25-L25-M25</f>
        <v>799999.99999999977</v>
      </c>
      <c r="O25" s="8">
        <f>11406374.85-E25-F25-G25-H25-I25-J25-K25-L25-M25-N25</f>
        <v>4809472.6999999983</v>
      </c>
      <c r="P25" s="16">
        <f>11406374.85-E25-F25-G25-H25-I25-J25-K25-L25-M25-N25-O25</f>
        <v>0</v>
      </c>
    </row>
    <row r="26" spans="1:16" ht="227.25" customHeight="1" x14ac:dyDescent="1.35">
      <c r="A26" s="88" t="s">
        <v>27</v>
      </c>
      <c r="B26" s="37">
        <v>5885000</v>
      </c>
      <c r="C26" s="37">
        <v>-1312260</v>
      </c>
      <c r="D26" s="115">
        <f t="shared" si="3"/>
        <v>1953339.74</v>
      </c>
      <c r="E26" s="11">
        <v>0</v>
      </c>
      <c r="F26" s="43">
        <f>405000.01-E26</f>
        <v>405000.01</v>
      </c>
      <c r="G26" s="6">
        <f>800300.01-E26-F26</f>
        <v>395300</v>
      </c>
      <c r="H26" s="38">
        <f>800300.01-E26-F26-G26</f>
        <v>0</v>
      </c>
      <c r="I26" s="9">
        <f>861793.74-E26-F26-G26-H26</f>
        <v>61493.729999999981</v>
      </c>
      <c r="J26" s="38">
        <f>1284834.44-E26-F26-G26-H26-I26</f>
        <v>423040.69999999995</v>
      </c>
      <c r="K26" s="39">
        <f>1457340.9-E26-F26-G26-I26-J26</f>
        <v>172506.45999999996</v>
      </c>
      <c r="L26" s="8">
        <f>1457340.9-E26-F26-G26-H26-I26-J26-K26</f>
        <v>0</v>
      </c>
      <c r="M26" s="9">
        <f>1457340.9-E26-F26-G26-H26-I26-J26-K26-L26</f>
        <v>0</v>
      </c>
      <c r="N26" s="10">
        <f>1705340.32-E26-F26-G26-H26-I26-J26-K26-L26-M26</f>
        <v>247999.42000000016</v>
      </c>
      <c r="O26" s="8">
        <f>1705340.32-E26-F26-G26-H26-I26-J26-K26-L26-M26-N26</f>
        <v>0</v>
      </c>
      <c r="P26" s="16">
        <f>1953339.74-E26-F26-G26-H26-I26-J26-K26-L26-M26-N26-O26</f>
        <v>247999.41999999993</v>
      </c>
    </row>
    <row r="27" spans="1:16" ht="114.95" customHeight="1" x14ac:dyDescent="1.35">
      <c r="A27" s="88" t="s">
        <v>89</v>
      </c>
      <c r="B27" s="37">
        <v>9100000</v>
      </c>
      <c r="C27" s="37">
        <v>-5428969.2599999998</v>
      </c>
      <c r="D27" s="115">
        <f t="shared" si="3"/>
        <v>1999872.44</v>
      </c>
      <c r="E27" s="11">
        <v>0</v>
      </c>
      <c r="F27" s="43">
        <v>0</v>
      </c>
      <c r="G27" s="6">
        <v>0</v>
      </c>
      <c r="H27" s="38">
        <f>232000-E27-F27-G27</f>
        <v>232000</v>
      </c>
      <c r="I27" s="8">
        <f>322742-E27-F27-G27-H27</f>
        <v>90742</v>
      </c>
      <c r="J27" s="16">
        <f>322742-E27-F27-G27-H27-I27</f>
        <v>0</v>
      </c>
      <c r="K27" s="48">
        <f>503872-E27-F27-G27-H27-I27-J27</f>
        <v>181130</v>
      </c>
      <c r="L27" s="8">
        <f>751872-E27-F27-G27-H27-I27-J27-K27</f>
        <v>248000</v>
      </c>
      <c r="M27" s="9">
        <f>751872-E27-F27-G27-H27-I27-J27-K27-L27</f>
        <v>0</v>
      </c>
      <c r="N27" s="10">
        <f>999872-E27-F27-G27-H27-I27-J27-K27-L27-M27</f>
        <v>248000</v>
      </c>
      <c r="O27" s="8">
        <f>999872-E27-F27-G27-H27-I27-J27-K27-L27-M27-N27</f>
        <v>0</v>
      </c>
      <c r="P27" s="16">
        <f>1999872.44-E27-F27-G27-H27-I27-J27-K27-L27-M27-N27-O27</f>
        <v>1000000.44</v>
      </c>
    </row>
    <row r="28" spans="1:16" ht="114.95" customHeight="1" x14ac:dyDescent="1.35">
      <c r="A28" s="87" t="s">
        <v>28</v>
      </c>
      <c r="B28" s="34">
        <f t="shared" ref="B28:P28" si="4">SUM(B29:B37)</f>
        <v>12490000</v>
      </c>
      <c r="C28" s="34">
        <f t="shared" si="4"/>
        <v>12514004.26</v>
      </c>
      <c r="D28" s="35">
        <f>SUM(D29:D37)</f>
        <v>22052708.18</v>
      </c>
      <c r="E28" s="35">
        <f t="shared" si="4"/>
        <v>422000</v>
      </c>
      <c r="F28" s="35">
        <f t="shared" si="4"/>
        <v>2572080.25</v>
      </c>
      <c r="G28" s="35">
        <f t="shared" si="4"/>
        <v>1279346.23</v>
      </c>
      <c r="H28" s="35">
        <f t="shared" si="4"/>
        <v>1456732.9200000002</v>
      </c>
      <c r="I28" s="35">
        <f t="shared" si="4"/>
        <v>2410396.12</v>
      </c>
      <c r="J28" s="35">
        <f t="shared" si="4"/>
        <v>1262510.3600000001</v>
      </c>
      <c r="K28" s="35">
        <f t="shared" si="4"/>
        <v>1878978.85</v>
      </c>
      <c r="L28" s="35">
        <f t="shared" si="4"/>
        <v>1465500.2799999993</v>
      </c>
      <c r="M28" s="35">
        <f t="shared" si="4"/>
        <v>1063374.5</v>
      </c>
      <c r="N28" s="35">
        <f t="shared" si="4"/>
        <v>3062759.62</v>
      </c>
      <c r="O28" s="35">
        <f t="shared" si="4"/>
        <v>487568</v>
      </c>
      <c r="P28" s="35">
        <f t="shared" si="4"/>
        <v>4691461.05</v>
      </c>
    </row>
    <row r="29" spans="1:16" ht="211.5" customHeight="1" x14ac:dyDescent="1.35">
      <c r="A29" s="88" t="s">
        <v>29</v>
      </c>
      <c r="B29" s="37">
        <v>1100000</v>
      </c>
      <c r="C29" s="37">
        <v>228000</v>
      </c>
      <c r="D29" s="41">
        <f>E29+F29+G29+H29+I29+J29+K29+L29+M29+N29+O29+P29</f>
        <v>1279039.1200000001</v>
      </c>
      <c r="E29" s="11">
        <v>0</v>
      </c>
      <c r="F29" s="6">
        <v>0</v>
      </c>
      <c r="G29" s="6">
        <f>140520-E29-F29</f>
        <v>140520</v>
      </c>
      <c r="H29" s="38">
        <f>150660-E29-F29-G29</f>
        <v>10140</v>
      </c>
      <c r="I29" s="9">
        <f>150660-E29-F29-G29-H29</f>
        <v>0</v>
      </c>
      <c r="J29" s="38">
        <f>398204-E29-F29-G29-H29-I29</f>
        <v>247544</v>
      </c>
      <c r="K29" s="39">
        <f>398204-E29-F29-G29-H29-I29-J29</f>
        <v>0</v>
      </c>
      <c r="L29" s="8">
        <f>463364-E29-F29-G29-H29-I29-J29-K29</f>
        <v>65160</v>
      </c>
      <c r="M29" s="9">
        <f>491564-E29-F29-G29-H29-I29-J29-K29-L29</f>
        <v>28200</v>
      </c>
      <c r="N29" s="10">
        <f>808098.64-E29-F29-G29-H29-I29-J29-K29-L29-M29</f>
        <v>316534.64</v>
      </c>
      <c r="O29" s="8">
        <f>808098.64-E29-F29-G29-H29-I29-J29-K29-L29-M29-N29</f>
        <v>0</v>
      </c>
      <c r="P29" s="16">
        <f>1279039.12-E29-F29-G29-H29-I29-J29-K29-L29-M29-N29-O29</f>
        <v>470940.4800000001</v>
      </c>
    </row>
    <row r="30" spans="1:16" ht="114.95" customHeight="1" x14ac:dyDescent="1.35">
      <c r="A30" s="88" t="s">
        <v>30</v>
      </c>
      <c r="B30" s="37">
        <v>0</v>
      </c>
      <c r="C30" s="37">
        <v>1367600</v>
      </c>
      <c r="D30" s="41">
        <f t="shared" ref="D30:D37" si="5">E30+F30+G30+H30+I30+J30+K30+L30+M30+N30+O30+P30</f>
        <v>1134157</v>
      </c>
      <c r="E30" s="11">
        <v>0</v>
      </c>
      <c r="F30" s="43">
        <f>233640-E30</f>
        <v>233640</v>
      </c>
      <c r="G30" s="6">
        <f>233640-E30-F30</f>
        <v>0</v>
      </c>
      <c r="H30" s="16">
        <f>393530-E30-F30-G30</f>
        <v>159890</v>
      </c>
      <c r="I30" s="8">
        <f>604986-E30-F30-G30-H30</f>
        <v>211456</v>
      </c>
      <c r="J30" s="16">
        <f>608762-E30-F30-G30-H30-I30</f>
        <v>3776</v>
      </c>
      <c r="K30" s="48">
        <f>807592-E30-F30-G30-H30-I30-J30</f>
        <v>198830</v>
      </c>
      <c r="L30" s="45">
        <f>845510.12-E30-F30-G30-H30-I30-J30-K30</f>
        <v>37918.119999999995</v>
      </c>
      <c r="M30" s="9">
        <f>845510.12-E30-F30-G30-H30-I30-J30-K30-L30</f>
        <v>0</v>
      </c>
      <c r="N30" s="10">
        <f>980325.12-E30-F30-G30-H30-I30-J30-K30-L30-M30</f>
        <v>134815</v>
      </c>
      <c r="O30" s="45">
        <f>980325.12-E30-F30-G30-H30-I30-J30-K30-L30-M30-N30</f>
        <v>0</v>
      </c>
      <c r="P30" s="44">
        <f>1134157-E30-F30-G30-H30-I30-J30-K30-L30-M30-N30-O30</f>
        <v>153831.88</v>
      </c>
    </row>
    <row r="31" spans="1:16" ht="157.5" customHeight="1" x14ac:dyDescent="1.35">
      <c r="A31" s="88" t="s">
        <v>31</v>
      </c>
      <c r="B31" s="37">
        <v>1810000</v>
      </c>
      <c r="C31" s="37">
        <v>328337</v>
      </c>
      <c r="D31" s="41">
        <f t="shared" si="5"/>
        <v>1878161.99</v>
      </c>
      <c r="E31" s="11">
        <v>0</v>
      </c>
      <c r="F31" s="43">
        <v>0</v>
      </c>
      <c r="G31" s="6">
        <f>76110-E31-F31</f>
        <v>76110</v>
      </c>
      <c r="H31" s="38">
        <f>323809.7-F31-G31</f>
        <v>247699.7</v>
      </c>
      <c r="I31" s="51">
        <f>344813.7-E31-F31-G31-H31</f>
        <v>21004</v>
      </c>
      <c r="J31" s="38">
        <f>569043.2-E31-F31-G31-H31-I31</f>
        <v>224229.49999999994</v>
      </c>
      <c r="K31" s="39">
        <f>749627.45-E31-F31-G31-H31-I31-J31</f>
        <v>180584.25</v>
      </c>
      <c r="L31" s="8">
        <f>749627.45-E31-F31-G31-H31-I31-J31-K31</f>
        <v>0</v>
      </c>
      <c r="M31" s="9">
        <f>1113391.95-E31-F31-G31-H31-I31-J31-K31-L31</f>
        <v>363764.5</v>
      </c>
      <c r="N31" s="10">
        <f>1113391.95-E31-F31-G31-H31-I31-J31-K31-L31-M31</f>
        <v>0</v>
      </c>
      <c r="O31" s="8">
        <f>1113391.95-E31-F31-G31-H31-I31-J31-K31-L31-M31-N31</f>
        <v>0</v>
      </c>
      <c r="P31" s="16">
        <f>1878161.99-E31-F31-G31-H31-I31-J31-K31-L31-M31-N31-O31</f>
        <v>764770.04</v>
      </c>
    </row>
    <row r="32" spans="1:16" ht="114.95" customHeight="1" x14ac:dyDescent="1.35">
      <c r="A32" s="88" t="s">
        <v>32</v>
      </c>
      <c r="B32" s="37">
        <v>0</v>
      </c>
      <c r="C32" s="37">
        <v>21000</v>
      </c>
      <c r="D32" s="41">
        <f t="shared" si="5"/>
        <v>8437</v>
      </c>
      <c r="E32" s="11">
        <v>0</v>
      </c>
      <c r="F32" s="43">
        <v>0</v>
      </c>
      <c r="G32" s="6">
        <v>0</v>
      </c>
      <c r="H32" s="52">
        <v>0</v>
      </c>
      <c r="I32" s="13">
        <v>0</v>
      </c>
      <c r="J32" s="44">
        <f>8437-E32-F32-G32-H32-I32</f>
        <v>8437</v>
      </c>
      <c r="K32" s="53">
        <f>8437-E32-F32-G32-H32-I32-J32</f>
        <v>0</v>
      </c>
      <c r="L32" s="45">
        <f>8437-E32-F32-G32-H32-I32-J32-K32</f>
        <v>0</v>
      </c>
      <c r="M32" s="9">
        <f>8437-E32-F32-G32-H32-I32-J32-K32-L32</f>
        <v>0</v>
      </c>
      <c r="N32" s="10">
        <f>8437-E32-F32-G32-H32-I32-J32-K32-L32-M32</f>
        <v>0</v>
      </c>
      <c r="O32" s="8">
        <f>8437-E32-F32-G32-H32-I32-J32-K32-L32-M32-N32</f>
        <v>0</v>
      </c>
      <c r="P32" s="44">
        <f>8437-E32-F32-G32-H32-I32-J32-K32-L32-M32-N32-O32</f>
        <v>0</v>
      </c>
    </row>
    <row r="33" spans="1:16" ht="162.75" customHeight="1" x14ac:dyDescent="1.35">
      <c r="A33" s="88" t="s">
        <v>33</v>
      </c>
      <c r="B33" s="37">
        <v>330000</v>
      </c>
      <c r="C33" s="37">
        <v>200000</v>
      </c>
      <c r="D33" s="41">
        <f t="shared" si="5"/>
        <v>525306.5</v>
      </c>
      <c r="E33" s="11">
        <v>0</v>
      </c>
      <c r="F33" s="43">
        <v>0</v>
      </c>
      <c r="G33" s="6">
        <v>0</v>
      </c>
      <c r="H33" s="16">
        <v>0</v>
      </c>
      <c r="I33" s="8">
        <v>0</v>
      </c>
      <c r="J33" s="16"/>
      <c r="K33" s="48">
        <v>0</v>
      </c>
      <c r="L33" s="8">
        <f>525306.5-E33-F33-G33-H33-I33-J33-K33</f>
        <v>525306.5</v>
      </c>
      <c r="M33" s="9">
        <f>525306.5-E33-F33-G33-H33-I33-J33-K33-L33</f>
        <v>0</v>
      </c>
      <c r="N33" s="10">
        <f>525306.5-E33-F33-G33-H33-I33-J33-K33-L33-M33</f>
        <v>0</v>
      </c>
      <c r="O33" s="8">
        <f>525306.5-E33-F33-G33-H33-I33-J33-K33-L33-M33-N33</f>
        <v>0</v>
      </c>
      <c r="P33" s="16"/>
    </row>
    <row r="34" spans="1:16" ht="168" customHeight="1" x14ac:dyDescent="1.35">
      <c r="A34" s="88" t="s">
        <v>34</v>
      </c>
      <c r="B34" s="37">
        <v>40000</v>
      </c>
      <c r="C34" s="37">
        <v>127200</v>
      </c>
      <c r="D34" s="41">
        <f t="shared" si="5"/>
        <v>69802.899999999994</v>
      </c>
      <c r="E34" s="11">
        <v>0</v>
      </c>
      <c r="F34" s="43">
        <v>0</v>
      </c>
      <c r="G34" s="6">
        <v>0</v>
      </c>
      <c r="H34" s="44">
        <f>46515.6-E34--F34-G34</f>
        <v>46515.6</v>
      </c>
      <c r="I34" s="54">
        <f>46515.6-E34-F34-G34-H34</f>
        <v>0</v>
      </c>
      <c r="J34" s="52">
        <f>46515.6-E34-F34-G34-H34-I34</f>
        <v>0</v>
      </c>
      <c r="K34" s="53">
        <f>46515.6-E34-F34-G34-H34-I34-J34</f>
        <v>0</v>
      </c>
      <c r="L34" s="45">
        <f>69802.9-E34-F34-G34-H34-I34-J34-K34</f>
        <v>23287.299999999996</v>
      </c>
      <c r="M34" s="9">
        <f>69802.9-E34-F34-G34-H34-I34-J34-K34-L34</f>
        <v>0</v>
      </c>
      <c r="N34" s="10">
        <f>69802.9-E34-F34-G34-H34-I34-J34-K34-L34-M34</f>
        <v>0</v>
      </c>
      <c r="O34" s="8">
        <f>69802.9-E34-F34-G34-H34-I34-J34-K34-L34-M34-N34</f>
        <v>0</v>
      </c>
      <c r="P34" s="16">
        <f>69802.9-E34-F34-G34-H34-I34-J34-K34-L34-M34-N34-O34</f>
        <v>0</v>
      </c>
    </row>
    <row r="35" spans="1:16" ht="168.75" customHeight="1" x14ac:dyDescent="1.35">
      <c r="A35" s="88" t="s">
        <v>35</v>
      </c>
      <c r="B35" s="37">
        <v>7550000</v>
      </c>
      <c r="C35" s="37">
        <v>3815424</v>
      </c>
      <c r="D35" s="41">
        <f t="shared" si="5"/>
        <v>10737673.02</v>
      </c>
      <c r="E35" s="5">
        <v>422000</v>
      </c>
      <c r="F35" s="43">
        <f>2034000-E35</f>
        <v>1612000</v>
      </c>
      <c r="G35" s="6">
        <f>2441000-E35-F35</f>
        <v>407000</v>
      </c>
      <c r="H35" s="38">
        <f>3302349.5-E35-F35-G35</f>
        <v>861349.5</v>
      </c>
      <c r="I35" s="9">
        <f>4929349.5-E35-F35-G35-H35</f>
        <v>1627000</v>
      </c>
      <c r="J35" s="7">
        <f>5366349.5-E35-F35-G35-H35-I35</f>
        <v>437000</v>
      </c>
      <c r="K35" s="39">
        <f>5808349.5-E35-F35-G35-H35-I35-J35</f>
        <v>442000</v>
      </c>
      <c r="L35" s="8">
        <f>6478873.02-E35-F35-G35-H35-I35-J35-K35</f>
        <v>670523.51999999955</v>
      </c>
      <c r="M35" s="9">
        <f>6985673.02-E35-F35-G35-H35-I35-J35-K35-L35</f>
        <v>506800</v>
      </c>
      <c r="N35" s="10">
        <f>8627673.02-E35-F35-G35-H35-I35-J35-K35-L35-M35</f>
        <v>1642000</v>
      </c>
      <c r="O35" s="8">
        <f>9082673.02-E35-F35-G35-H35-I35-J35-K35-L35-M35-N35</f>
        <v>455000</v>
      </c>
      <c r="P35" s="16">
        <f>10737673.02-E35-F35-G35-H35-I35-J35-K35-L35-M35-N35-O35</f>
        <v>1655000</v>
      </c>
    </row>
    <row r="36" spans="1:16" ht="205.5" customHeight="1" x14ac:dyDescent="1.35">
      <c r="A36" s="88" t="s">
        <v>36</v>
      </c>
      <c r="B36" s="37">
        <v>0</v>
      </c>
      <c r="C36" s="37">
        <v>0</v>
      </c>
      <c r="D36" s="41">
        <f t="shared" si="5"/>
        <v>0</v>
      </c>
      <c r="E36" s="11">
        <v>0</v>
      </c>
      <c r="F36" s="43">
        <v>0</v>
      </c>
      <c r="G36" s="6">
        <v>0</v>
      </c>
      <c r="H36" s="12">
        <v>0</v>
      </c>
      <c r="I36" s="13">
        <v>0</v>
      </c>
      <c r="J36" s="12">
        <v>0</v>
      </c>
      <c r="K36" s="14">
        <v>0</v>
      </c>
      <c r="L36" s="13">
        <v>0</v>
      </c>
      <c r="M36" s="12">
        <v>0</v>
      </c>
      <c r="N36" s="10">
        <v>0</v>
      </c>
      <c r="O36" s="8">
        <v>0</v>
      </c>
      <c r="P36" s="12">
        <v>0</v>
      </c>
    </row>
    <row r="37" spans="1:16" ht="114.95" customHeight="1" x14ac:dyDescent="1.35">
      <c r="A37" s="88" t="s">
        <v>37</v>
      </c>
      <c r="B37" s="37">
        <v>1660000</v>
      </c>
      <c r="C37" s="37">
        <v>6426443.2599999998</v>
      </c>
      <c r="D37" s="41">
        <f t="shared" si="5"/>
        <v>6420130.6499999994</v>
      </c>
      <c r="E37" s="11">
        <v>0</v>
      </c>
      <c r="F37" s="43">
        <f>726440.25-E37</f>
        <v>726440.25</v>
      </c>
      <c r="G37" s="6">
        <f>1382156.48-E37-F37</f>
        <v>655716.23</v>
      </c>
      <c r="H37" s="38">
        <f>1513294.6-E37-F37-G37</f>
        <v>131138.12000000011</v>
      </c>
      <c r="I37" s="9">
        <f>2064230.72-E37-F37-G37-H37</f>
        <v>550936.11999999988</v>
      </c>
      <c r="J37" s="38">
        <f>2405754.58-E37-F37-G37-H37-I37</f>
        <v>341523.8600000001</v>
      </c>
      <c r="K37" s="39">
        <f>3463319.18-E37-F37-G37-H37-I37-J37</f>
        <v>1057564.6000000001</v>
      </c>
      <c r="L37" s="8">
        <f>3606624.02-E37-F37-G37-H37-I37-J37-K37</f>
        <v>143304.83999999985</v>
      </c>
      <c r="M37" s="9">
        <f>3771234.02-E37-F37-G37-H37-I37-J37-K37-L37</f>
        <v>164610</v>
      </c>
      <c r="N37" s="10">
        <f>4740644-E37-F37-G37-H37-I37-J37-K37-L37-M37</f>
        <v>969409.98</v>
      </c>
      <c r="O37" s="8">
        <f>4773212-E37-F37-G37-H37-I37-J37-K37-L37-M37-N37</f>
        <v>32568</v>
      </c>
      <c r="P37" s="16">
        <f>6420130.65-E37-F37-G37-H37-I37-J37-K37-L37-M37-N37-O37</f>
        <v>1646918.6499999994</v>
      </c>
    </row>
    <row r="38" spans="1:16" ht="114.95" customHeight="1" x14ac:dyDescent="1.35">
      <c r="A38" s="87" t="s">
        <v>38</v>
      </c>
      <c r="B38" s="16">
        <f t="shared" ref="B38:P38" si="6">SUM(B39:B45)</f>
        <v>0</v>
      </c>
      <c r="C38" s="16">
        <f t="shared" si="6"/>
        <v>0</v>
      </c>
      <c r="D38" s="35">
        <f t="shared" si="6"/>
        <v>0</v>
      </c>
      <c r="E38" s="35">
        <f t="shared" si="6"/>
        <v>0</v>
      </c>
      <c r="F38" s="35">
        <f t="shared" si="6"/>
        <v>0</v>
      </c>
      <c r="G38" s="35">
        <f t="shared" si="6"/>
        <v>0</v>
      </c>
      <c r="H38" s="35">
        <f t="shared" si="6"/>
        <v>0</v>
      </c>
      <c r="I38" s="35">
        <f t="shared" si="6"/>
        <v>0</v>
      </c>
      <c r="J38" s="35">
        <f t="shared" si="6"/>
        <v>0</v>
      </c>
      <c r="K38" s="35">
        <f t="shared" si="6"/>
        <v>0</v>
      </c>
      <c r="L38" s="35">
        <f t="shared" si="6"/>
        <v>0</v>
      </c>
      <c r="M38" s="35">
        <f t="shared" si="6"/>
        <v>0</v>
      </c>
      <c r="N38" s="35">
        <f t="shared" si="6"/>
        <v>0</v>
      </c>
      <c r="O38" s="35">
        <f t="shared" si="6"/>
        <v>0</v>
      </c>
      <c r="P38" s="35">
        <f t="shared" si="6"/>
        <v>0</v>
      </c>
    </row>
    <row r="39" spans="1:16" ht="141" x14ac:dyDescent="1.35">
      <c r="A39" s="88" t="s">
        <v>39</v>
      </c>
      <c r="B39" s="34">
        <v>0</v>
      </c>
      <c r="C39" s="34">
        <v>0</v>
      </c>
      <c r="D39" s="41">
        <f t="shared" ref="D39:D53" si="7">SUM(E39:P39)</f>
        <v>0</v>
      </c>
      <c r="E39" s="11">
        <v>0</v>
      </c>
      <c r="F39" s="43">
        <v>0</v>
      </c>
      <c r="G39" s="6">
        <v>0</v>
      </c>
      <c r="H39" s="12">
        <v>0</v>
      </c>
      <c r="I39" s="13">
        <v>0</v>
      </c>
      <c r="J39" s="12"/>
      <c r="K39" s="14"/>
      <c r="L39" s="13">
        <v>0</v>
      </c>
      <c r="M39" s="9"/>
      <c r="N39" s="10"/>
      <c r="O39" s="13"/>
    </row>
    <row r="40" spans="1:16" ht="141" x14ac:dyDescent="1.35">
      <c r="A40" s="88" t="s">
        <v>40</v>
      </c>
      <c r="B40" s="34">
        <v>0</v>
      </c>
      <c r="C40" s="34">
        <v>0</v>
      </c>
      <c r="D40" s="41">
        <f t="shared" si="7"/>
        <v>0</v>
      </c>
      <c r="E40" s="11">
        <v>0</v>
      </c>
      <c r="F40" s="43">
        <v>0</v>
      </c>
      <c r="G40" s="6">
        <v>0</v>
      </c>
      <c r="H40" s="12">
        <v>0</v>
      </c>
      <c r="I40" s="13">
        <v>0</v>
      </c>
      <c r="J40" s="12"/>
      <c r="K40" s="14">
        <v>0</v>
      </c>
      <c r="L40" s="13">
        <v>0</v>
      </c>
      <c r="M40" s="9"/>
      <c r="N40" s="10"/>
      <c r="O40" s="13"/>
    </row>
    <row r="41" spans="1:16" ht="141" x14ac:dyDescent="1.35">
      <c r="A41" s="88" t="s">
        <v>41</v>
      </c>
      <c r="B41" s="34">
        <v>0</v>
      </c>
      <c r="C41" s="34">
        <v>0</v>
      </c>
      <c r="D41" s="41">
        <f t="shared" si="7"/>
        <v>0</v>
      </c>
      <c r="E41" s="11">
        <v>0</v>
      </c>
      <c r="F41" s="43">
        <v>0</v>
      </c>
      <c r="G41" s="6">
        <v>0</v>
      </c>
      <c r="H41" s="12">
        <v>0</v>
      </c>
      <c r="I41" s="13">
        <v>0</v>
      </c>
      <c r="J41" s="12"/>
      <c r="K41" s="14">
        <v>0</v>
      </c>
      <c r="L41" s="13">
        <v>0</v>
      </c>
      <c r="M41" s="9"/>
      <c r="N41" s="10"/>
      <c r="O41" s="13"/>
    </row>
    <row r="42" spans="1:16" ht="141" x14ac:dyDescent="1.35">
      <c r="A42" s="88" t="s">
        <v>42</v>
      </c>
      <c r="B42" s="34">
        <v>0</v>
      </c>
      <c r="C42" s="34">
        <v>0</v>
      </c>
      <c r="D42" s="41">
        <f t="shared" si="7"/>
        <v>0</v>
      </c>
      <c r="E42" s="11">
        <v>0</v>
      </c>
      <c r="F42" s="43">
        <v>0</v>
      </c>
      <c r="G42" s="6">
        <v>0</v>
      </c>
      <c r="H42" s="12">
        <v>0</v>
      </c>
      <c r="I42" s="13">
        <v>0</v>
      </c>
      <c r="J42" s="12"/>
      <c r="K42" s="14">
        <v>0</v>
      </c>
      <c r="L42" s="13">
        <v>0</v>
      </c>
      <c r="M42" s="9"/>
      <c r="N42" s="10"/>
      <c r="O42" s="13"/>
    </row>
    <row r="43" spans="1:16" ht="141" x14ac:dyDescent="1.35">
      <c r="A43" s="88" t="s">
        <v>43</v>
      </c>
      <c r="B43" s="34">
        <v>0</v>
      </c>
      <c r="C43" s="34">
        <v>0</v>
      </c>
      <c r="D43" s="41">
        <f t="shared" si="7"/>
        <v>0</v>
      </c>
      <c r="E43" s="11">
        <v>0</v>
      </c>
      <c r="F43" s="43">
        <v>0</v>
      </c>
      <c r="G43" s="6">
        <v>0</v>
      </c>
      <c r="H43" s="12">
        <v>0</v>
      </c>
      <c r="I43" s="13">
        <v>0</v>
      </c>
      <c r="J43" s="12"/>
      <c r="K43" s="14">
        <v>0</v>
      </c>
      <c r="L43" s="13">
        <v>0</v>
      </c>
      <c r="M43" s="9"/>
      <c r="N43" s="10"/>
      <c r="O43" s="13"/>
    </row>
    <row r="44" spans="1:16" ht="141" x14ac:dyDescent="1.35">
      <c r="A44" s="88" t="s">
        <v>44</v>
      </c>
      <c r="B44" s="34">
        <v>0</v>
      </c>
      <c r="C44" s="34">
        <v>0</v>
      </c>
      <c r="D44" s="41">
        <f t="shared" si="7"/>
        <v>0</v>
      </c>
      <c r="E44" s="11">
        <v>0</v>
      </c>
      <c r="F44" s="43">
        <v>0</v>
      </c>
      <c r="G44" s="6">
        <v>0</v>
      </c>
      <c r="H44" s="12">
        <v>0</v>
      </c>
      <c r="I44" s="13">
        <v>0</v>
      </c>
      <c r="J44" s="12"/>
      <c r="K44" s="14">
        <v>0</v>
      </c>
      <c r="L44" s="13">
        <v>0</v>
      </c>
      <c r="M44" s="9"/>
      <c r="N44" s="10"/>
      <c r="O44" s="13"/>
    </row>
    <row r="45" spans="1:16" ht="141" x14ac:dyDescent="1.35">
      <c r="A45" s="88" t="s">
        <v>45</v>
      </c>
      <c r="B45" s="34">
        <v>0</v>
      </c>
      <c r="C45" s="34">
        <v>0</v>
      </c>
      <c r="D45" s="41">
        <f t="shared" si="7"/>
        <v>0</v>
      </c>
      <c r="E45" s="11">
        <v>0</v>
      </c>
      <c r="F45" s="43">
        <v>0</v>
      </c>
      <c r="G45" s="6">
        <v>0</v>
      </c>
      <c r="H45" s="12">
        <v>0</v>
      </c>
      <c r="I45" s="13">
        <v>0</v>
      </c>
      <c r="J45" s="12"/>
      <c r="K45" s="14">
        <v>0</v>
      </c>
      <c r="L45" s="13">
        <v>0</v>
      </c>
      <c r="M45" s="9"/>
      <c r="N45" s="10"/>
      <c r="O45" s="13"/>
    </row>
    <row r="46" spans="1:16" ht="92.25" x14ac:dyDescent="1.35">
      <c r="A46" s="87" t="s">
        <v>46</v>
      </c>
      <c r="B46" s="16">
        <f t="shared" ref="B46:O46" si="8">SUM(B47:B53)</f>
        <v>0</v>
      </c>
      <c r="C46" s="16">
        <f t="shared" si="8"/>
        <v>0</v>
      </c>
      <c r="D46" s="35">
        <f t="shared" si="8"/>
        <v>0</v>
      </c>
      <c r="E46" s="35">
        <f t="shared" si="8"/>
        <v>0</v>
      </c>
      <c r="F46" s="35">
        <f t="shared" si="8"/>
        <v>0</v>
      </c>
      <c r="G46" s="35">
        <f t="shared" si="8"/>
        <v>0</v>
      </c>
      <c r="H46" s="35">
        <f t="shared" si="8"/>
        <v>0</v>
      </c>
      <c r="I46" s="35">
        <f t="shared" si="8"/>
        <v>0</v>
      </c>
      <c r="J46" s="35">
        <f t="shared" si="8"/>
        <v>0</v>
      </c>
      <c r="K46" s="35">
        <f t="shared" si="8"/>
        <v>0</v>
      </c>
      <c r="L46" s="35">
        <f t="shared" si="8"/>
        <v>0</v>
      </c>
      <c r="M46" s="35">
        <f t="shared" si="8"/>
        <v>0</v>
      </c>
      <c r="N46" s="35">
        <f t="shared" si="8"/>
        <v>0</v>
      </c>
      <c r="O46" s="35">
        <f t="shared" si="8"/>
        <v>0</v>
      </c>
    </row>
    <row r="47" spans="1:16" ht="141" x14ac:dyDescent="1.35">
      <c r="A47" s="88" t="s">
        <v>47</v>
      </c>
      <c r="B47" s="34">
        <v>0</v>
      </c>
      <c r="C47" s="34">
        <v>0</v>
      </c>
      <c r="D47" s="41">
        <f t="shared" si="7"/>
        <v>0</v>
      </c>
      <c r="E47" s="11">
        <v>0</v>
      </c>
      <c r="F47" s="6">
        <v>0</v>
      </c>
      <c r="G47" s="6">
        <v>0</v>
      </c>
      <c r="H47" s="12">
        <v>0</v>
      </c>
      <c r="I47" s="13">
        <v>0</v>
      </c>
      <c r="J47" s="12"/>
      <c r="K47" s="14"/>
      <c r="L47" s="13"/>
      <c r="M47" s="9"/>
      <c r="N47" s="10"/>
      <c r="O47" s="13"/>
    </row>
    <row r="48" spans="1:16" ht="141" x14ac:dyDescent="1.35">
      <c r="A48" s="88" t="s">
        <v>48</v>
      </c>
      <c r="B48" s="34">
        <v>0</v>
      </c>
      <c r="C48" s="34">
        <v>0</v>
      </c>
      <c r="D48" s="41">
        <f t="shared" si="7"/>
        <v>0</v>
      </c>
      <c r="E48" s="11"/>
      <c r="F48" s="6">
        <v>0</v>
      </c>
      <c r="G48" s="6">
        <v>0</v>
      </c>
      <c r="H48" s="12">
        <v>0</v>
      </c>
      <c r="I48" s="13">
        <v>0</v>
      </c>
      <c r="J48" s="12"/>
      <c r="K48" s="14">
        <v>0</v>
      </c>
      <c r="L48" s="13">
        <v>0</v>
      </c>
      <c r="M48" s="9"/>
      <c r="N48" s="10"/>
      <c r="O48" s="13"/>
    </row>
    <row r="49" spans="1:17" ht="141" x14ac:dyDescent="1.35">
      <c r="A49" s="88" t="s">
        <v>49</v>
      </c>
      <c r="B49" s="34">
        <v>0</v>
      </c>
      <c r="C49" s="34">
        <v>0</v>
      </c>
      <c r="D49" s="41">
        <f t="shared" si="7"/>
        <v>0</v>
      </c>
      <c r="E49" s="11">
        <v>0</v>
      </c>
      <c r="F49" s="6">
        <v>0</v>
      </c>
      <c r="G49" s="6">
        <v>0</v>
      </c>
      <c r="H49" s="12">
        <v>0</v>
      </c>
      <c r="I49" s="13">
        <v>0</v>
      </c>
      <c r="J49" s="12"/>
      <c r="K49" s="14">
        <v>0</v>
      </c>
      <c r="L49" s="13">
        <v>0</v>
      </c>
      <c r="M49" s="9"/>
      <c r="N49" s="10"/>
      <c r="O49" s="13"/>
    </row>
    <row r="50" spans="1:17" ht="141" x14ac:dyDescent="1.35">
      <c r="A50" s="88" t="s">
        <v>50</v>
      </c>
      <c r="B50" s="34">
        <v>0</v>
      </c>
      <c r="C50" s="34">
        <v>0</v>
      </c>
      <c r="D50" s="41">
        <f t="shared" si="7"/>
        <v>0</v>
      </c>
      <c r="E50" s="11">
        <v>0</v>
      </c>
      <c r="F50" s="6">
        <v>0</v>
      </c>
      <c r="G50" s="6">
        <v>0</v>
      </c>
      <c r="H50" s="12">
        <v>0</v>
      </c>
      <c r="I50" s="13">
        <v>0</v>
      </c>
      <c r="J50" s="12"/>
      <c r="K50" s="14">
        <v>0</v>
      </c>
      <c r="L50" s="13">
        <v>0</v>
      </c>
      <c r="M50" s="9"/>
      <c r="N50" s="10"/>
      <c r="O50" s="13"/>
    </row>
    <row r="51" spans="1:17" ht="141" x14ac:dyDescent="1.35">
      <c r="A51" s="88" t="s">
        <v>51</v>
      </c>
      <c r="B51" s="34">
        <v>0</v>
      </c>
      <c r="C51" s="34">
        <v>0</v>
      </c>
      <c r="D51" s="41">
        <f t="shared" si="7"/>
        <v>0</v>
      </c>
      <c r="E51" s="11">
        <v>0</v>
      </c>
      <c r="F51" s="6">
        <v>0</v>
      </c>
      <c r="G51" s="6">
        <v>0</v>
      </c>
      <c r="H51" s="12">
        <v>0</v>
      </c>
      <c r="I51" s="13">
        <v>0</v>
      </c>
      <c r="J51" s="12"/>
      <c r="K51" s="14">
        <v>0</v>
      </c>
      <c r="L51" s="13">
        <v>0</v>
      </c>
      <c r="M51" s="9"/>
      <c r="N51" s="10"/>
      <c r="O51" s="13"/>
    </row>
    <row r="52" spans="1:17" ht="141" x14ac:dyDescent="1.35">
      <c r="A52" s="88" t="s">
        <v>52</v>
      </c>
      <c r="B52" s="34">
        <v>0</v>
      </c>
      <c r="C52" s="34">
        <v>0</v>
      </c>
      <c r="D52" s="41">
        <f t="shared" si="7"/>
        <v>0</v>
      </c>
      <c r="E52" s="11">
        <v>0</v>
      </c>
      <c r="F52" s="6">
        <v>0</v>
      </c>
      <c r="G52" s="6">
        <v>0</v>
      </c>
      <c r="H52" s="12">
        <v>0</v>
      </c>
      <c r="I52" s="13">
        <v>0</v>
      </c>
      <c r="J52" s="12"/>
      <c r="K52" s="14">
        <v>0</v>
      </c>
      <c r="L52" s="13">
        <v>0</v>
      </c>
      <c r="M52" s="9"/>
      <c r="N52" s="10"/>
      <c r="O52" s="13"/>
    </row>
    <row r="53" spans="1:17" ht="141" x14ac:dyDescent="1.35">
      <c r="A53" s="88" t="s">
        <v>53</v>
      </c>
      <c r="B53" s="34">
        <v>0</v>
      </c>
      <c r="C53" s="34">
        <v>0</v>
      </c>
      <c r="D53" s="41">
        <f t="shared" si="7"/>
        <v>0</v>
      </c>
      <c r="E53" s="11">
        <v>0</v>
      </c>
      <c r="F53" s="6">
        <v>0</v>
      </c>
      <c r="G53" s="6">
        <v>0</v>
      </c>
      <c r="H53" s="12">
        <v>0</v>
      </c>
      <c r="I53" s="13">
        <v>0</v>
      </c>
      <c r="J53" s="12"/>
      <c r="K53" s="14">
        <v>0</v>
      </c>
      <c r="L53" s="13">
        <v>0</v>
      </c>
      <c r="M53" s="9"/>
      <c r="N53" s="10"/>
      <c r="O53" s="13"/>
    </row>
    <row r="54" spans="1:17" ht="151.5" customHeight="1" x14ac:dyDescent="1.35">
      <c r="A54" s="87" t="s">
        <v>54</v>
      </c>
      <c r="B54" s="34">
        <f t="shared" ref="B54:P54" si="9">SUM(B55:B63)</f>
        <v>3200000</v>
      </c>
      <c r="C54" s="34">
        <f t="shared" si="9"/>
        <v>13290398.49</v>
      </c>
      <c r="D54" s="116">
        <f>SUM(D55:D63)</f>
        <v>12026834.869999999</v>
      </c>
      <c r="E54" s="35">
        <f t="shared" si="9"/>
        <v>0</v>
      </c>
      <c r="F54" s="35">
        <f t="shared" si="9"/>
        <v>951988.95</v>
      </c>
      <c r="G54" s="35">
        <f t="shared" si="9"/>
        <v>557466.82000000007</v>
      </c>
      <c r="H54" s="35">
        <f t="shared" si="9"/>
        <v>0</v>
      </c>
      <c r="I54" s="35">
        <f t="shared" si="9"/>
        <v>479102.52999999997</v>
      </c>
      <c r="J54" s="35">
        <f t="shared" si="9"/>
        <v>2486557.59</v>
      </c>
      <c r="K54" s="35">
        <f t="shared" si="9"/>
        <v>-97860</v>
      </c>
      <c r="L54" s="35">
        <f t="shared" si="9"/>
        <v>478744.29000000004</v>
      </c>
      <c r="M54" s="35">
        <f t="shared" si="9"/>
        <v>1492781.42</v>
      </c>
      <c r="N54" s="35">
        <f t="shared" si="9"/>
        <v>883081.43000000017</v>
      </c>
      <c r="O54" s="35">
        <f t="shared" si="9"/>
        <v>914234.5</v>
      </c>
      <c r="P54" s="35">
        <f t="shared" si="9"/>
        <v>3880737.3399999989</v>
      </c>
      <c r="Q54" s="127">
        <f>12026834.87-D54</f>
        <v>0</v>
      </c>
    </row>
    <row r="55" spans="1:17" ht="92.25" x14ac:dyDescent="1.35">
      <c r="A55" s="88" t="s">
        <v>55</v>
      </c>
      <c r="B55" s="37">
        <v>2500000</v>
      </c>
      <c r="C55" s="37">
        <v>5186918</v>
      </c>
      <c r="D55" s="41">
        <f>E55+F55+G55+H55+I55+J55+K55+L55+M55+N55+O55+P55</f>
        <v>5768366.7699999996</v>
      </c>
      <c r="E55" s="11"/>
      <c r="F55" s="6">
        <f>951988.95</f>
        <v>951988.95</v>
      </c>
      <c r="G55" s="6">
        <f>1172673.77-E55-F55</f>
        <v>220684.82000000007</v>
      </c>
      <c r="H55" s="38">
        <f>1172673.77-E55-F55-G55</f>
        <v>0</v>
      </c>
      <c r="I55" s="9">
        <f>1172673.77-E55-F55-G55-H55</f>
        <v>0</v>
      </c>
      <c r="J55" s="38">
        <f>2659132.35-E55-F55-G55-H55-I55</f>
        <v>1486458.58</v>
      </c>
      <c r="K55" s="39">
        <f>2659132.35-E55-F55-G55-H55-I55-J55</f>
        <v>0</v>
      </c>
      <c r="L55" s="8">
        <f>2659132.35-E55-F55-G55-H55-I55-J55-K55</f>
        <v>0</v>
      </c>
      <c r="M55" s="9">
        <f>4060935.77-E55-F55-G55-H55-I55-J55-K55-L55</f>
        <v>1401803.42</v>
      </c>
      <c r="N55" s="10">
        <f>4060935.77-E55-F55-G55-H55-I55-J55-K55-L55-M55</f>
        <v>0</v>
      </c>
      <c r="O55" s="8">
        <f>4060935.77-E55-F55-G55-H55-I55-J55-K55-L55-M55-N55</f>
        <v>0</v>
      </c>
      <c r="P55" s="16">
        <f>5768366.77-E55-F55-G55-H55-I55-J55-K55-L55-M55-N55-O55</f>
        <v>1707430.9999999991</v>
      </c>
    </row>
    <row r="56" spans="1:17" ht="141" x14ac:dyDescent="1.35">
      <c r="A56" s="88" t="s">
        <v>56</v>
      </c>
      <c r="B56" s="37">
        <v>0</v>
      </c>
      <c r="C56" s="37">
        <v>2948800.49</v>
      </c>
      <c r="D56" s="41">
        <f>E56+F56+G56+H56+I56+J56+K56+L56+M56+N56+O56+P56</f>
        <v>2383549.71</v>
      </c>
      <c r="E56" s="11">
        <v>0</v>
      </c>
      <c r="F56" s="6">
        <v>0</v>
      </c>
      <c r="G56" s="6">
        <f>88782-E56-F56</f>
        <v>88782</v>
      </c>
      <c r="H56" s="44">
        <f>88782-E56-F56-G56</f>
        <v>0</v>
      </c>
      <c r="I56" s="54">
        <f>88782-E56-F56-G56-H56</f>
        <v>0</v>
      </c>
      <c r="J56" s="44">
        <f>88782-E56-F56-G56-H56-I56</f>
        <v>0</v>
      </c>
      <c r="K56" s="53">
        <f>88782-E56-F56-G56-H56-I56-J56</f>
        <v>0</v>
      </c>
      <c r="L56" s="54">
        <f>567526.29-E56-F56-G56-H56-I56-J56-K56</f>
        <v>478744.29000000004</v>
      </c>
      <c r="M56" s="9">
        <f>567526.29-E56-F56-G56-H56-I56-J56-K56-L56</f>
        <v>0</v>
      </c>
      <c r="N56" s="10">
        <f>567526.29-E56-F56-G56-H56-I56-J56-K56-L56-M56</f>
        <v>0</v>
      </c>
      <c r="O56" s="8">
        <f>1481760.79-E56-F56-G56-H56-I56-J56-K56-L56-M56-N56</f>
        <v>914234.5</v>
      </c>
      <c r="P56" s="44">
        <f>2383549.71-E56-F56-G56-H56-I56-J56-K56-L56-M56-N56-O56</f>
        <v>901788.91999999993</v>
      </c>
    </row>
    <row r="57" spans="1:17" ht="141" x14ac:dyDescent="1.35">
      <c r="A57" s="88" t="s">
        <v>57</v>
      </c>
      <c r="B57" s="37">
        <v>0</v>
      </c>
      <c r="C57" s="37">
        <v>0</v>
      </c>
      <c r="D57" s="41">
        <f t="shared" ref="D57:D58" si="10">E57+F57+G57+H57+I57+J57+K57+L57+M57+N57+O57</f>
        <v>0</v>
      </c>
      <c r="E57" s="11">
        <v>0</v>
      </c>
      <c r="F57" s="6">
        <v>0</v>
      </c>
      <c r="G57" s="6"/>
      <c r="H57" s="12">
        <v>0</v>
      </c>
      <c r="I57" s="45"/>
      <c r="J57" s="44">
        <v>0</v>
      </c>
      <c r="K57" s="50">
        <v>0</v>
      </c>
      <c r="L57" s="54">
        <v>0</v>
      </c>
      <c r="M57" s="9">
        <v>0</v>
      </c>
      <c r="N57" s="10">
        <v>0</v>
      </c>
      <c r="O57" s="8">
        <v>0</v>
      </c>
      <c r="P57" s="16">
        <v>0</v>
      </c>
    </row>
    <row r="58" spans="1:17" ht="141" x14ac:dyDescent="1.35">
      <c r="A58" s="88" t="s">
        <v>58</v>
      </c>
      <c r="B58" s="37">
        <v>0</v>
      </c>
      <c r="C58" s="37">
        <v>1353750</v>
      </c>
      <c r="D58" s="41">
        <f t="shared" si="10"/>
        <v>0</v>
      </c>
      <c r="E58" s="11">
        <v>0</v>
      </c>
      <c r="F58" s="6">
        <v>0</v>
      </c>
      <c r="G58" s="6"/>
      <c r="H58" s="38">
        <v>0</v>
      </c>
      <c r="I58" s="9"/>
      <c r="J58" s="38">
        <v>0</v>
      </c>
      <c r="K58" s="39">
        <v>0</v>
      </c>
      <c r="L58" s="8">
        <v>0</v>
      </c>
      <c r="M58" s="9">
        <v>0</v>
      </c>
      <c r="N58" s="10">
        <v>0</v>
      </c>
      <c r="O58" s="8">
        <v>0</v>
      </c>
      <c r="P58" s="44"/>
    </row>
    <row r="59" spans="1:17" ht="215.25" customHeight="1" x14ac:dyDescent="1.35">
      <c r="A59" s="88" t="s">
        <v>59</v>
      </c>
      <c r="B59" s="37">
        <v>500000</v>
      </c>
      <c r="C59" s="37">
        <v>2328031.5099999998</v>
      </c>
      <c r="D59" s="41">
        <f>E59+F59+G59+H59+I59+J59+K59+L59+M59+N59+O59+P59</f>
        <v>2446207.44</v>
      </c>
      <c r="E59" s="11">
        <v>0</v>
      </c>
      <c r="F59" s="6">
        <v>0</v>
      </c>
      <c r="G59" s="6">
        <f>248000-E59-F59</f>
        <v>248000</v>
      </c>
      <c r="H59" s="38">
        <f>248000-E59-F59-G59</f>
        <v>0</v>
      </c>
      <c r="I59" s="8">
        <f>434399.99-E59-F59-G59-H59</f>
        <v>186399.99</v>
      </c>
      <c r="J59" s="38">
        <f>1434499-E59-F59-G59-H59-I59</f>
        <v>1000099.01</v>
      </c>
      <c r="K59" s="39">
        <f>1557299-E59-F59-G59-H59-I59-J59</f>
        <v>122800</v>
      </c>
      <c r="L59" s="8">
        <f>1557299-E59-F59-G59-H59-I59-J59-K59</f>
        <v>0</v>
      </c>
      <c r="M59" s="9">
        <f>1557299-E59-F59-G59-H59-I59-J59-K59-L59</f>
        <v>0</v>
      </c>
      <c r="N59" s="10">
        <f>2440380.43-E59-F59-G59-H59-I59-J59-K59-L59-M59</f>
        <v>883081.43000000017</v>
      </c>
      <c r="O59" s="8">
        <f>2440380.43-E59-F59-G59-H59-I59-J59-K59-L59-M59-N59</f>
        <v>0</v>
      </c>
      <c r="P59" s="16">
        <f>2446207.44-E59-F59-G59-H59-I59-J59-K59-L59-M59-N59-O59</f>
        <v>5827.0099999997765</v>
      </c>
    </row>
    <row r="60" spans="1:17" ht="92.25" x14ac:dyDescent="1.35">
      <c r="A60" s="88" t="s">
        <v>60</v>
      </c>
      <c r="B60" s="37">
        <v>0</v>
      </c>
      <c r="C60" s="37">
        <v>1128750</v>
      </c>
      <c r="D60" s="41">
        <f t="shared" ref="D60:D68" si="11">E60+F60+G60+H60+I60+J60+K60+L60+M60+N60+O60+P60</f>
        <v>1108756.4099999999</v>
      </c>
      <c r="E60" s="11">
        <v>0</v>
      </c>
      <c r="F60" s="6">
        <v>0</v>
      </c>
      <c r="G60" s="6">
        <v>0</v>
      </c>
      <c r="H60" s="12">
        <v>0</v>
      </c>
      <c r="I60" s="13">
        <v>0</v>
      </c>
      <c r="J60" s="12">
        <v>0</v>
      </c>
      <c r="K60" s="14">
        <v>0</v>
      </c>
      <c r="L60" s="13">
        <v>0</v>
      </c>
      <c r="M60" s="9">
        <f>90978-E60-F60-G60-H60-I60-J60-K60-L60</f>
        <v>90978</v>
      </c>
      <c r="N60" s="10">
        <f>90978-E60-F60-G60-H60-I60-J60-K60-L60-M60</f>
        <v>0</v>
      </c>
      <c r="O60" s="8">
        <f>90978-E60-F60-G60-H60-I60-J60-K60-L60-M60-N60</f>
        <v>0</v>
      </c>
      <c r="P60" s="44">
        <f>1108756.41-E60-F60-G60-H60-I60-J60-K60-L60-M60-N60-O60</f>
        <v>1017778.4099999999</v>
      </c>
    </row>
    <row r="61" spans="1:17" ht="92.25" x14ac:dyDescent="1.35">
      <c r="A61" s="88" t="s">
        <v>61</v>
      </c>
      <c r="B61" s="37">
        <v>0</v>
      </c>
      <c r="C61" s="37">
        <v>0</v>
      </c>
      <c r="D61" s="41">
        <f t="shared" si="11"/>
        <v>0</v>
      </c>
      <c r="E61" s="11">
        <v>0</v>
      </c>
      <c r="F61" s="6">
        <v>0</v>
      </c>
      <c r="G61" s="6">
        <v>0</v>
      </c>
      <c r="H61" s="12">
        <v>0</v>
      </c>
      <c r="I61" s="13">
        <v>0</v>
      </c>
      <c r="J61" s="12">
        <v>0</v>
      </c>
      <c r="K61" s="50">
        <v>0</v>
      </c>
      <c r="L61" s="45">
        <f>72042.54-E62-F62-G62-H62-I62-J62-K62</f>
        <v>0</v>
      </c>
      <c r="M61" s="9">
        <v>0</v>
      </c>
      <c r="N61" s="10"/>
      <c r="O61" s="8"/>
      <c r="P61" s="12">
        <v>0</v>
      </c>
    </row>
    <row r="62" spans="1:17" ht="92.25" x14ac:dyDescent="1.35">
      <c r="A62" s="88" t="s">
        <v>62</v>
      </c>
      <c r="B62" s="37">
        <v>200000</v>
      </c>
      <c r="C62" s="37">
        <v>123448.49</v>
      </c>
      <c r="D62" s="41">
        <f t="shared" si="11"/>
        <v>319954.53999999998</v>
      </c>
      <c r="E62" s="11">
        <v>0</v>
      </c>
      <c r="F62" s="6">
        <v>0</v>
      </c>
      <c r="G62" s="6">
        <v>0</v>
      </c>
      <c r="H62" s="52">
        <v>0</v>
      </c>
      <c r="I62" s="55">
        <f>72042.54-E62-F62-G62-H62</f>
        <v>72042.539999999994</v>
      </c>
      <c r="J62" s="12">
        <v>0</v>
      </c>
      <c r="K62" s="53">
        <f>72042.54-E62-F62-G62-H62-I62-J62</f>
        <v>0</v>
      </c>
      <c r="L62" s="54">
        <v>0</v>
      </c>
      <c r="M62" s="9">
        <v>0</v>
      </c>
      <c r="N62" s="10">
        <f>72042.54-E62-F62-G62-H62-I62-J62-K62-L62-M62</f>
        <v>0</v>
      </c>
      <c r="O62" s="8">
        <f>72042.54-E62-F62-G62-H62-I62-J62-K62-L62-M62-N62</f>
        <v>0</v>
      </c>
      <c r="P62" s="16">
        <f>319954.54-E62-F62-G62-H62-I62-J62-K62-L62-M62-N62-O62</f>
        <v>247912</v>
      </c>
    </row>
    <row r="63" spans="1:17" ht="141" x14ac:dyDescent="1.35">
      <c r="A63" s="88" t="s">
        <v>63</v>
      </c>
      <c r="B63" s="37"/>
      <c r="C63" s="37">
        <v>220700</v>
      </c>
      <c r="D63" s="41">
        <f t="shared" si="11"/>
        <v>0</v>
      </c>
      <c r="E63" s="11">
        <v>0</v>
      </c>
      <c r="F63" s="6">
        <v>0</v>
      </c>
      <c r="G63" s="6">
        <v>0</v>
      </c>
      <c r="H63" s="12">
        <v>0</v>
      </c>
      <c r="I63" s="45">
        <f>220660-E63-F63-G63-H63</f>
        <v>220660</v>
      </c>
      <c r="J63" s="44">
        <f>220660-E63-F63-G63-H63-I63</f>
        <v>0</v>
      </c>
      <c r="K63" s="50">
        <f>0-E63-F63-G63-H63-I63-J63</f>
        <v>-220660</v>
      </c>
      <c r="L63" s="13">
        <v>0</v>
      </c>
      <c r="M63" s="9">
        <v>0</v>
      </c>
      <c r="N63" s="10">
        <v>0</v>
      </c>
      <c r="O63" s="8">
        <v>0</v>
      </c>
      <c r="P63" s="44">
        <f>0-E63-F63-G63-H63-I63-J63-K63-L63-M63-N63-O63</f>
        <v>0</v>
      </c>
    </row>
    <row r="64" spans="1:17" ht="92.25" x14ac:dyDescent="1.35">
      <c r="A64" s="87" t="s">
        <v>64</v>
      </c>
      <c r="B64" s="34"/>
      <c r="C64" s="34">
        <f t="shared" ref="C64:P64" si="12">SUM(C65:C68)</f>
        <v>1306000</v>
      </c>
      <c r="D64" s="116">
        <f t="shared" si="12"/>
        <v>0</v>
      </c>
      <c r="E64" s="47">
        <f t="shared" si="12"/>
        <v>0</v>
      </c>
      <c r="F64" s="47">
        <f t="shared" si="12"/>
        <v>0</v>
      </c>
      <c r="G64" s="47">
        <f t="shared" si="12"/>
        <v>0</v>
      </c>
      <c r="H64" s="47">
        <f t="shared" si="12"/>
        <v>0</v>
      </c>
      <c r="I64" s="47">
        <f t="shared" si="12"/>
        <v>0</v>
      </c>
      <c r="J64" s="47">
        <f t="shared" si="12"/>
        <v>0</v>
      </c>
      <c r="K64" s="47">
        <f t="shared" si="12"/>
        <v>0</v>
      </c>
      <c r="L64" s="47">
        <f t="shared" si="12"/>
        <v>0</v>
      </c>
      <c r="M64" s="47">
        <f t="shared" si="12"/>
        <v>0</v>
      </c>
      <c r="N64" s="47">
        <f t="shared" si="12"/>
        <v>0</v>
      </c>
      <c r="O64" s="47">
        <f t="shared" si="12"/>
        <v>0</v>
      </c>
      <c r="P64" s="47">
        <f t="shared" si="12"/>
        <v>0</v>
      </c>
    </row>
    <row r="65" spans="1:16" ht="92.25" x14ac:dyDescent="1.35">
      <c r="A65" s="88" t="s">
        <v>65</v>
      </c>
      <c r="B65" s="37">
        <v>0</v>
      </c>
      <c r="C65" s="37">
        <v>1306000</v>
      </c>
      <c r="D65" s="41">
        <f t="shared" si="11"/>
        <v>0</v>
      </c>
      <c r="E65" s="11">
        <v>0</v>
      </c>
      <c r="F65" s="6">
        <v>0</v>
      </c>
      <c r="G65" s="6"/>
      <c r="H65" s="16"/>
      <c r="I65" s="8"/>
      <c r="J65" s="16"/>
      <c r="K65" s="50"/>
      <c r="L65" s="45"/>
      <c r="M65" s="9">
        <v>0</v>
      </c>
      <c r="N65" s="10"/>
      <c r="O65" s="8"/>
      <c r="P65" s="44">
        <f>0-E65-F65-G65-H65-I65-J65-K65-L65-M65-N65-O65</f>
        <v>0</v>
      </c>
    </row>
    <row r="66" spans="1:16" ht="92.25" x14ac:dyDescent="1.35">
      <c r="A66" s="88" t="s">
        <v>66</v>
      </c>
      <c r="B66" s="37">
        <v>0</v>
      </c>
      <c r="C66" s="37"/>
      <c r="D66" s="41">
        <f t="shared" si="11"/>
        <v>0</v>
      </c>
      <c r="E66" s="11">
        <v>0</v>
      </c>
      <c r="F66" s="6">
        <v>0</v>
      </c>
      <c r="G66" s="6"/>
      <c r="H66" s="44"/>
      <c r="I66" s="45"/>
      <c r="J66" s="44"/>
      <c r="K66" s="50"/>
      <c r="L66" s="45"/>
      <c r="M66" s="9">
        <v>0</v>
      </c>
      <c r="N66" s="10"/>
      <c r="O66" s="45"/>
      <c r="P66" s="44"/>
    </row>
    <row r="67" spans="1:16" ht="183" customHeight="1" x14ac:dyDescent="1.35">
      <c r="A67" s="88" t="s">
        <v>67</v>
      </c>
      <c r="B67" s="37">
        <v>0</v>
      </c>
      <c r="C67" s="37"/>
      <c r="D67" s="41">
        <f t="shared" si="11"/>
        <v>0</v>
      </c>
      <c r="E67" s="11">
        <v>0</v>
      </c>
      <c r="F67" s="6">
        <v>0</v>
      </c>
      <c r="G67" s="6"/>
      <c r="H67" s="12"/>
      <c r="I67" s="13"/>
      <c r="J67" s="12"/>
      <c r="K67" s="14"/>
      <c r="L67" s="13">
        <v>0</v>
      </c>
      <c r="M67" s="9"/>
      <c r="N67" s="10"/>
      <c r="O67" s="13"/>
    </row>
    <row r="68" spans="1:16" ht="280.5" customHeight="1" x14ac:dyDescent="1.35">
      <c r="A68" s="88" t="s">
        <v>68</v>
      </c>
      <c r="B68" s="37">
        <v>0</v>
      </c>
      <c r="C68" s="37"/>
      <c r="D68" s="41">
        <f t="shared" si="11"/>
        <v>0</v>
      </c>
      <c r="E68" s="11">
        <v>0</v>
      </c>
      <c r="F68" s="6">
        <v>0</v>
      </c>
      <c r="G68" s="6"/>
      <c r="H68" s="12"/>
      <c r="I68" s="13"/>
      <c r="J68" s="12"/>
      <c r="K68" s="14"/>
      <c r="L68" s="13">
        <v>0</v>
      </c>
      <c r="M68" s="9"/>
      <c r="N68" s="10"/>
      <c r="O68" s="13"/>
    </row>
    <row r="69" spans="1:16" ht="141" x14ac:dyDescent="1.35">
      <c r="A69" s="87" t="s">
        <v>69</v>
      </c>
      <c r="B69" s="34"/>
      <c r="C69" s="34"/>
      <c r="D69" s="47">
        <f>SUM(D70:D71)</f>
        <v>0</v>
      </c>
      <c r="E69" s="47">
        <f>SUM(E70:E71)</f>
        <v>0</v>
      </c>
      <c r="F69" s="47">
        <f>SUM(F70:F71)</f>
        <v>0</v>
      </c>
      <c r="G69" s="47">
        <f>SUM(G70:G71)</f>
        <v>0</v>
      </c>
      <c r="H69" s="12"/>
      <c r="I69" s="13"/>
      <c r="J69" s="12"/>
      <c r="K69" s="14"/>
      <c r="L69" s="13">
        <v>0</v>
      </c>
      <c r="M69" s="9"/>
      <c r="N69" s="10"/>
      <c r="O69" s="13"/>
    </row>
    <row r="70" spans="1:16" ht="92.25" x14ac:dyDescent="1.35">
      <c r="A70" s="88" t="s">
        <v>70</v>
      </c>
      <c r="B70" s="37">
        <v>0</v>
      </c>
      <c r="C70" s="37"/>
      <c r="D70" s="9"/>
      <c r="E70" s="11">
        <v>0</v>
      </c>
      <c r="F70" s="6">
        <v>0</v>
      </c>
      <c r="G70" s="6">
        <v>0</v>
      </c>
      <c r="H70" s="12">
        <v>0</v>
      </c>
      <c r="I70" s="13">
        <v>0</v>
      </c>
      <c r="J70" s="12"/>
      <c r="K70" s="14"/>
      <c r="L70" s="13"/>
      <c r="M70" s="9"/>
      <c r="N70" s="10"/>
      <c r="O70" s="13"/>
    </row>
    <row r="71" spans="1:16" ht="141" x14ac:dyDescent="1.35">
      <c r="A71" s="88" t="s">
        <v>71</v>
      </c>
      <c r="B71" s="37">
        <v>0</v>
      </c>
      <c r="C71" s="37"/>
      <c r="D71" s="9"/>
      <c r="E71" s="11">
        <v>0</v>
      </c>
      <c r="F71" s="6">
        <v>0</v>
      </c>
      <c r="G71" s="6">
        <v>0</v>
      </c>
      <c r="H71" s="12">
        <v>0</v>
      </c>
      <c r="I71" s="13">
        <v>0</v>
      </c>
      <c r="J71" s="12"/>
      <c r="K71" s="14"/>
      <c r="L71" s="13">
        <v>0</v>
      </c>
      <c r="M71" s="9"/>
      <c r="N71" s="10"/>
      <c r="O71" s="13"/>
    </row>
    <row r="72" spans="1:16" ht="92.25" x14ac:dyDescent="1.35">
      <c r="A72" s="87" t="s">
        <v>72</v>
      </c>
      <c r="B72" s="34"/>
      <c r="C72" s="34"/>
      <c r="D72" s="47">
        <f>SUM(D73:D75)</f>
        <v>0</v>
      </c>
      <c r="E72" s="12"/>
      <c r="F72" s="47">
        <f>SUM(E73:E75)</f>
        <v>0</v>
      </c>
      <c r="G72" s="47">
        <f>SUM(F73:F75)</f>
        <v>0</v>
      </c>
      <c r="H72" s="12"/>
      <c r="I72" s="13"/>
      <c r="J72" s="12"/>
      <c r="K72" s="14"/>
      <c r="L72" s="13">
        <v>0</v>
      </c>
      <c r="M72" s="9"/>
      <c r="N72" s="10"/>
      <c r="O72" s="13"/>
    </row>
    <row r="73" spans="1:16" ht="92.25" x14ac:dyDescent="1.35">
      <c r="A73" s="88" t="s">
        <v>73</v>
      </c>
      <c r="B73" s="37">
        <v>0</v>
      </c>
      <c r="C73" s="37"/>
      <c r="D73" s="9"/>
      <c r="E73" s="11">
        <v>0</v>
      </c>
      <c r="F73" s="6">
        <v>0</v>
      </c>
      <c r="G73" s="6">
        <v>0</v>
      </c>
      <c r="H73" s="12">
        <v>0</v>
      </c>
      <c r="I73" s="13">
        <v>0</v>
      </c>
      <c r="J73" s="12"/>
      <c r="K73" s="14"/>
      <c r="L73" s="13"/>
      <c r="M73" s="9"/>
      <c r="N73" s="10"/>
      <c r="O73" s="13"/>
      <c r="P73" s="38"/>
    </row>
    <row r="74" spans="1:16" ht="156.75" customHeight="1" x14ac:dyDescent="1.35">
      <c r="A74" s="88" t="s">
        <v>74</v>
      </c>
      <c r="B74" s="37">
        <v>0</v>
      </c>
      <c r="C74" s="37"/>
      <c r="D74" s="9"/>
      <c r="E74" s="11">
        <v>0</v>
      </c>
      <c r="F74" s="6">
        <v>0</v>
      </c>
      <c r="G74" s="6">
        <v>0</v>
      </c>
      <c r="H74" s="12">
        <v>0</v>
      </c>
      <c r="I74" s="13">
        <v>0</v>
      </c>
      <c r="J74" s="12"/>
      <c r="K74" s="14"/>
      <c r="L74" s="13">
        <v>0</v>
      </c>
      <c r="M74" s="9"/>
      <c r="N74" s="10"/>
      <c r="O74" s="13"/>
    </row>
    <row r="75" spans="1:16" ht="156.75" customHeight="1" x14ac:dyDescent="1.35">
      <c r="A75" s="88" t="s">
        <v>75</v>
      </c>
      <c r="B75" s="37">
        <v>0</v>
      </c>
      <c r="C75" s="37"/>
      <c r="D75" s="9"/>
      <c r="E75" s="11">
        <v>0</v>
      </c>
      <c r="F75" s="6">
        <v>0</v>
      </c>
      <c r="G75" s="6">
        <v>0</v>
      </c>
      <c r="H75" s="12">
        <v>0</v>
      </c>
      <c r="I75" s="13">
        <v>0</v>
      </c>
      <c r="J75" s="12"/>
      <c r="K75" s="14"/>
      <c r="L75" s="13">
        <v>0</v>
      </c>
      <c r="M75" s="9"/>
      <c r="N75" s="10"/>
      <c r="O75" s="13"/>
    </row>
    <row r="76" spans="1:16" s="20" customFormat="1" ht="114.95" customHeight="1" x14ac:dyDescent="1.35">
      <c r="A76" s="91" t="s">
        <v>76</v>
      </c>
      <c r="B76" s="56">
        <f>B12+B18+B28+B54+B64</f>
        <v>330979786</v>
      </c>
      <c r="C76" s="56">
        <f>C12+C18+C28+C54+C64</f>
        <v>38548211.289999999</v>
      </c>
      <c r="D76" s="56">
        <f>D12+D18+D28+D54+D64</f>
        <v>333669844.95000005</v>
      </c>
      <c r="E76" s="56">
        <f>E12+E18+E28+E54+E64</f>
        <v>1203070.8999999999</v>
      </c>
      <c r="F76" s="56">
        <f t="shared" ref="F76:P76" si="13">F12+F18+F28+F54+F64</f>
        <v>44048843.830000006</v>
      </c>
      <c r="G76" s="56">
        <f t="shared" si="13"/>
        <v>22434456.720000006</v>
      </c>
      <c r="H76" s="56">
        <f t="shared" si="13"/>
        <v>21488462.509999998</v>
      </c>
      <c r="I76" s="56">
        <f t="shared" si="13"/>
        <v>26899929.919999998</v>
      </c>
      <c r="J76" s="56">
        <f t="shared" si="13"/>
        <v>23682876.430000003</v>
      </c>
      <c r="K76" s="56">
        <f t="shared" si="13"/>
        <v>26397903.420000002</v>
      </c>
      <c r="L76" s="56">
        <f t="shared" si="13"/>
        <v>24225671.520000011</v>
      </c>
      <c r="M76" s="56">
        <f t="shared" si="13"/>
        <v>23843973.139999986</v>
      </c>
      <c r="N76" s="56">
        <f t="shared" si="13"/>
        <v>40378666.339999989</v>
      </c>
      <c r="O76" s="56">
        <f t="shared" si="13"/>
        <v>27622738.470000014</v>
      </c>
      <c r="P76" s="56">
        <f t="shared" si="13"/>
        <v>51443251.750000007</v>
      </c>
    </row>
    <row r="77" spans="1:16" s="20" customFormat="1" ht="114.95" customHeight="1" x14ac:dyDescent="1.35">
      <c r="A77" s="92"/>
      <c r="B77" s="56"/>
      <c r="C77" s="56"/>
      <c r="D77" s="56"/>
      <c r="E77" s="56"/>
      <c r="F77" s="56"/>
      <c r="G77" s="60"/>
      <c r="H77" s="60"/>
      <c r="I77" s="60"/>
      <c r="J77" s="61"/>
      <c r="K77" s="61"/>
      <c r="L77" s="61"/>
      <c r="M77" s="62"/>
      <c r="N77" s="63"/>
      <c r="O77" s="62"/>
      <c r="P77" s="61"/>
    </row>
    <row r="78" spans="1:16" ht="114.95" customHeight="1" x14ac:dyDescent="1.35">
      <c r="A78" s="90" t="s">
        <v>77</v>
      </c>
      <c r="B78" s="64"/>
      <c r="C78" s="120"/>
      <c r="D78" s="65">
        <f>333669844.95-D76</f>
        <v>0</v>
      </c>
      <c r="E78" s="66"/>
      <c r="F78" s="67"/>
      <c r="G78" s="67"/>
      <c r="H78" s="66"/>
      <c r="I78" s="68"/>
      <c r="J78" s="66"/>
      <c r="K78" s="68"/>
      <c r="L78" s="68"/>
      <c r="M78" s="65"/>
      <c r="N78" s="69"/>
      <c r="O78" s="68"/>
      <c r="P78" s="66"/>
    </row>
    <row r="79" spans="1:16" ht="114.95" customHeight="1" x14ac:dyDescent="1.35">
      <c r="A79" s="87" t="s">
        <v>78</v>
      </c>
      <c r="B79" s="70"/>
      <c r="C79" s="71"/>
      <c r="D79" s="47">
        <f>D80+D81</f>
        <v>0</v>
      </c>
      <c r="E79" s="47">
        <f>E80+E81</f>
        <v>0</v>
      </c>
      <c r="F79" s="47">
        <f>F80+F81</f>
        <v>0</v>
      </c>
      <c r="G79" s="47">
        <f>G80+G81</f>
        <v>0</v>
      </c>
      <c r="H79" s="12"/>
      <c r="I79" s="13"/>
      <c r="J79" s="16">
        <f>J80+J81</f>
        <v>0</v>
      </c>
      <c r="K79" s="8"/>
      <c r="L79" s="13"/>
      <c r="M79" s="9"/>
      <c r="N79" s="10"/>
      <c r="O79" s="13"/>
    </row>
    <row r="80" spans="1:16" ht="174" customHeight="1" x14ac:dyDescent="1.35">
      <c r="A80" s="88" t="s">
        <v>79</v>
      </c>
      <c r="B80" s="72"/>
      <c r="C80" s="73"/>
      <c r="D80" s="9"/>
      <c r="E80" s="11">
        <v>0</v>
      </c>
      <c r="F80" s="43">
        <v>0</v>
      </c>
      <c r="G80" s="6"/>
      <c r="H80" s="38">
        <v>0</v>
      </c>
      <c r="I80" s="13">
        <v>0</v>
      </c>
      <c r="J80" s="12"/>
      <c r="K80" s="13"/>
      <c r="L80" s="8"/>
      <c r="M80" s="9"/>
      <c r="N80" s="10"/>
      <c r="O80" s="13"/>
    </row>
    <row r="81" spans="1:16" ht="211.5" customHeight="1" x14ac:dyDescent="1.35">
      <c r="A81" s="88" t="s">
        <v>80</v>
      </c>
      <c r="B81" s="73"/>
      <c r="C81" s="73"/>
      <c r="D81" s="9"/>
      <c r="E81" s="11">
        <v>0</v>
      </c>
      <c r="F81" s="43"/>
      <c r="G81" s="6"/>
      <c r="H81" s="12">
        <v>0</v>
      </c>
      <c r="I81" s="13">
        <v>0</v>
      </c>
      <c r="J81" s="16"/>
      <c r="K81" s="13"/>
      <c r="L81" s="13"/>
      <c r="M81" s="9"/>
      <c r="N81" s="10"/>
      <c r="O81" s="13"/>
    </row>
    <row r="82" spans="1:16" ht="184.5" customHeight="1" x14ac:dyDescent="1.35">
      <c r="A82" s="87" t="s">
        <v>81</v>
      </c>
      <c r="B82" s="70"/>
      <c r="C82" s="70"/>
      <c r="D82" s="47">
        <f>D83+D84</f>
        <v>0</v>
      </c>
      <c r="E82" s="47">
        <f>E83+E84</f>
        <v>0</v>
      </c>
      <c r="F82" s="47">
        <f>F83+F84</f>
        <v>0</v>
      </c>
      <c r="G82" s="47">
        <f>G83+G84</f>
        <v>0</v>
      </c>
      <c r="H82" s="12"/>
      <c r="I82" s="13"/>
      <c r="J82" s="12"/>
      <c r="K82" s="13"/>
      <c r="L82" s="13"/>
      <c r="M82" s="9"/>
      <c r="N82" s="10"/>
      <c r="O82" s="13"/>
    </row>
    <row r="83" spans="1:16" ht="114.95" customHeight="1" x14ac:dyDescent="1.35">
      <c r="A83" s="88" t="s">
        <v>82</v>
      </c>
      <c r="B83" s="72"/>
      <c r="C83" s="72"/>
      <c r="D83" s="41">
        <f>SUM(E83:P83)</f>
        <v>0</v>
      </c>
      <c r="E83" s="11">
        <v>0</v>
      </c>
      <c r="F83" s="43">
        <v>0</v>
      </c>
      <c r="G83" s="6"/>
      <c r="H83" s="6">
        <v>0</v>
      </c>
      <c r="I83" s="8">
        <v>0</v>
      </c>
      <c r="J83" s="16"/>
      <c r="K83" s="8"/>
      <c r="L83" s="8"/>
      <c r="M83" s="9"/>
      <c r="N83" s="10"/>
      <c r="O83" s="8"/>
    </row>
    <row r="84" spans="1:16" ht="114.95" customHeight="1" x14ac:dyDescent="1.35">
      <c r="A84" s="88" t="s">
        <v>83</v>
      </c>
      <c r="B84" s="72"/>
      <c r="C84" s="72"/>
      <c r="D84" s="9"/>
      <c r="E84" s="11">
        <v>0</v>
      </c>
      <c r="F84" s="43">
        <v>0</v>
      </c>
      <c r="G84" s="6"/>
      <c r="H84" s="12">
        <v>0</v>
      </c>
      <c r="I84" s="13">
        <v>0</v>
      </c>
      <c r="J84" s="12"/>
      <c r="K84" s="13"/>
      <c r="L84" s="13"/>
      <c r="M84" s="9"/>
      <c r="N84" s="10"/>
      <c r="O84" s="13"/>
    </row>
    <row r="85" spans="1:16" ht="114.95" customHeight="1" x14ac:dyDescent="1.35">
      <c r="A85" s="87" t="s">
        <v>84</v>
      </c>
      <c r="B85" s="70"/>
      <c r="C85" s="70"/>
      <c r="D85" s="47">
        <f>D86</f>
        <v>0</v>
      </c>
      <c r="E85" s="47">
        <f>E86</f>
        <v>0</v>
      </c>
      <c r="F85" s="47">
        <f>F86</f>
        <v>0</v>
      </c>
      <c r="G85" s="47">
        <f>G86</f>
        <v>0</v>
      </c>
      <c r="H85" s="12"/>
      <c r="I85" s="13"/>
      <c r="J85" s="12"/>
      <c r="K85" s="13"/>
      <c r="L85" s="13"/>
      <c r="M85" s="9"/>
      <c r="N85" s="10"/>
      <c r="O85" s="13"/>
    </row>
    <row r="86" spans="1:16" ht="174" customHeight="1" x14ac:dyDescent="1.35">
      <c r="A86" s="88" t="s">
        <v>85</v>
      </c>
      <c r="B86" s="72"/>
      <c r="C86" s="72"/>
      <c r="D86" s="9"/>
      <c r="E86" s="11">
        <v>0</v>
      </c>
      <c r="F86" s="43">
        <v>0</v>
      </c>
      <c r="G86" s="6"/>
      <c r="H86" s="12">
        <v>0</v>
      </c>
      <c r="I86" s="13">
        <v>0</v>
      </c>
      <c r="J86" s="12"/>
      <c r="K86" s="13"/>
      <c r="L86" s="13"/>
      <c r="M86" s="9"/>
      <c r="N86" s="10"/>
      <c r="O86" s="13"/>
    </row>
    <row r="87" spans="1:16" s="20" customFormat="1" ht="114.95" customHeight="1" x14ac:dyDescent="1.35">
      <c r="A87" s="91" t="s">
        <v>86</v>
      </c>
      <c r="B87" s="74"/>
      <c r="C87" s="74"/>
      <c r="D87" s="75">
        <f>D79+D82+D85</f>
        <v>0</v>
      </c>
      <c r="E87" s="75">
        <f>E79+E82+E85</f>
        <v>0</v>
      </c>
      <c r="F87" s="75">
        <f>F79+F82+F85</f>
        <v>0</v>
      </c>
      <c r="G87" s="75">
        <f>G79+G82+G85</f>
        <v>0</v>
      </c>
      <c r="H87" s="76">
        <f>SUM(H78:H86)</f>
        <v>0</v>
      </c>
      <c r="I87" s="76">
        <f>SUM(I78:I86)</f>
        <v>0</v>
      </c>
      <c r="J87" s="57"/>
      <c r="K87" s="57"/>
      <c r="L87" s="57"/>
      <c r="M87" s="58"/>
      <c r="N87" s="59"/>
      <c r="O87" s="57"/>
      <c r="P87" s="57"/>
    </row>
    <row r="88" spans="1:16" ht="114.95" customHeight="1" x14ac:dyDescent="1.35">
      <c r="A88" s="93"/>
      <c r="B88" s="77"/>
      <c r="C88" s="77"/>
      <c r="D88" s="9"/>
      <c r="E88" s="12"/>
      <c r="F88" s="6"/>
      <c r="G88" s="6"/>
      <c r="H88" s="12"/>
      <c r="I88" s="13"/>
      <c r="J88" s="12"/>
      <c r="K88" s="13"/>
      <c r="L88" s="13"/>
      <c r="M88" s="9"/>
      <c r="N88" s="10"/>
      <c r="O88" s="13"/>
    </row>
    <row r="89" spans="1:16" s="20" customFormat="1" ht="179.25" customHeight="1" x14ac:dyDescent="1.35">
      <c r="A89" s="91" t="s">
        <v>87</v>
      </c>
      <c r="B89" s="78">
        <f>B76+B87</f>
        <v>330979786</v>
      </c>
      <c r="C89" s="78">
        <f>C76+C87</f>
        <v>38548211.289999999</v>
      </c>
      <c r="D89" s="79">
        <f>SUM(D87,D76)</f>
        <v>333669844.95000005</v>
      </c>
      <c r="E89" s="79">
        <f t="shared" ref="E89:K89" si="14">SUM(E87,E76)</f>
        <v>1203070.8999999999</v>
      </c>
      <c r="F89" s="79">
        <f t="shared" si="14"/>
        <v>44048843.830000006</v>
      </c>
      <c r="G89" s="79">
        <f t="shared" si="14"/>
        <v>22434456.720000006</v>
      </c>
      <c r="H89" s="79">
        <f t="shared" si="14"/>
        <v>21488462.509999998</v>
      </c>
      <c r="I89" s="79">
        <f t="shared" si="14"/>
        <v>26899929.919999998</v>
      </c>
      <c r="J89" s="79">
        <f t="shared" si="14"/>
        <v>23682876.430000003</v>
      </c>
      <c r="K89" s="79">
        <f t="shared" si="14"/>
        <v>26397903.420000002</v>
      </c>
      <c r="L89" s="61">
        <f t="shared" ref="L89:P89" si="15">SUM(L87,L76)</f>
        <v>24225671.520000011</v>
      </c>
      <c r="M89" s="62">
        <f t="shared" si="15"/>
        <v>23843973.139999986</v>
      </c>
      <c r="N89" s="62">
        <f t="shared" si="15"/>
        <v>40378666.339999989</v>
      </c>
      <c r="O89" s="62">
        <f t="shared" si="15"/>
        <v>27622738.470000014</v>
      </c>
      <c r="P89" s="61">
        <f t="shared" si="15"/>
        <v>51443251.750000007</v>
      </c>
    </row>
    <row r="90" spans="1:16" s="20" customFormat="1" ht="114.95" customHeight="1" x14ac:dyDescent="1.35">
      <c r="A90" s="92"/>
      <c r="B90" s="78"/>
      <c r="C90" s="78"/>
      <c r="D90" s="79"/>
      <c r="E90" s="79"/>
      <c r="F90" s="60"/>
      <c r="G90" s="60"/>
      <c r="H90" s="60"/>
      <c r="I90" s="60"/>
      <c r="J90" s="61"/>
      <c r="K90" s="61"/>
      <c r="L90" s="61"/>
      <c r="M90" s="62"/>
      <c r="N90" s="63"/>
      <c r="O90" s="62"/>
      <c r="P90" s="61"/>
    </row>
    <row r="91" spans="1:16" ht="114.95" customHeight="1" x14ac:dyDescent="1.55">
      <c r="A91" s="94" t="s">
        <v>92</v>
      </c>
      <c r="B91" s="17"/>
      <c r="C91" s="80"/>
      <c r="D91" s="117"/>
      <c r="E91" s="17"/>
      <c r="K91" s="20"/>
      <c r="L91" s="20"/>
      <c r="M91" s="18"/>
      <c r="N91" s="26"/>
      <c r="O91" s="20"/>
    </row>
    <row r="92" spans="1:16" ht="179.25" customHeight="1" x14ac:dyDescent="1.55">
      <c r="A92" s="124" t="s">
        <v>98</v>
      </c>
      <c r="B92" s="124"/>
      <c r="C92" s="124"/>
      <c r="D92" s="124"/>
      <c r="E92" s="124"/>
      <c r="F92" s="124"/>
      <c r="K92" s="20"/>
      <c r="L92" s="20"/>
      <c r="M92" s="18"/>
      <c r="N92" s="26"/>
      <c r="O92" s="20"/>
    </row>
    <row r="93" spans="1:16" ht="200.25" customHeight="1" x14ac:dyDescent="1.35">
      <c r="A93" s="123" t="s">
        <v>99</v>
      </c>
      <c r="B93" s="123"/>
      <c r="C93" s="123"/>
      <c r="D93" s="123"/>
      <c r="E93" s="123"/>
      <c r="F93" s="123"/>
      <c r="G93" s="123"/>
      <c r="H93" s="123"/>
      <c r="K93" s="20"/>
      <c r="L93" s="20"/>
      <c r="M93" s="18"/>
      <c r="N93" s="26"/>
      <c r="O93" s="20"/>
    </row>
    <row r="94" spans="1:16" ht="211.5" customHeight="1" x14ac:dyDescent="1.35">
      <c r="A94" s="123" t="s">
        <v>100</v>
      </c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20"/>
      <c r="M94" s="18"/>
      <c r="N94" s="26"/>
      <c r="O94" s="20"/>
    </row>
    <row r="95" spans="1:16" ht="114.95" customHeight="1" x14ac:dyDescent="1.35">
      <c r="A95" s="95"/>
      <c r="B95" s="21"/>
      <c r="C95" s="21"/>
      <c r="D95" s="118"/>
      <c r="E95" s="21"/>
      <c r="F95" s="81"/>
      <c r="K95" s="20"/>
      <c r="L95" s="20"/>
      <c r="M95" s="18"/>
      <c r="N95" s="26"/>
      <c r="O95" s="20"/>
    </row>
    <row r="96" spans="1:16" ht="114.95" customHeight="1" x14ac:dyDescent="1.35">
      <c r="A96" s="96"/>
      <c r="B96" s="21"/>
      <c r="C96" s="21"/>
      <c r="D96" s="118"/>
      <c r="E96" s="21"/>
      <c r="F96" s="21"/>
      <c r="K96" s="20"/>
      <c r="L96" s="20"/>
      <c r="M96" s="18"/>
      <c r="N96" s="26"/>
      <c r="O96" s="20"/>
    </row>
    <row r="97" spans="1:15" ht="114.95" customHeight="1" x14ac:dyDescent="1.35">
      <c r="A97" s="121" t="s">
        <v>96</v>
      </c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</row>
    <row r="98" spans="1:15" ht="114.95" customHeight="1" x14ac:dyDescent="1.65">
      <c r="A98" s="122" t="s">
        <v>88</v>
      </c>
      <c r="B98" s="122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</row>
    <row r="99" spans="1:15" ht="114.95" customHeight="1" x14ac:dyDescent="1.35">
      <c r="K99" s="20"/>
      <c r="L99" s="20"/>
      <c r="M99" s="18"/>
      <c r="N99" s="26"/>
      <c r="O99" s="20"/>
    </row>
    <row r="100" spans="1:15" ht="114.95" customHeight="1" x14ac:dyDescent="1.35">
      <c r="K100" s="20"/>
      <c r="L100" s="20"/>
      <c r="M100" s="18"/>
      <c r="N100" s="26"/>
      <c r="O100" s="20"/>
    </row>
    <row r="110" spans="1:15" ht="114.95" customHeight="1" x14ac:dyDescent="1.35">
      <c r="D110" s="119"/>
      <c r="E110" s="82"/>
      <c r="J110" s="83"/>
    </row>
    <row r="111" spans="1:15" ht="114.95" customHeight="1" x14ac:dyDescent="1.35">
      <c r="D111" s="119"/>
      <c r="E111" s="82"/>
      <c r="J111" s="83"/>
    </row>
    <row r="112" spans="1:15" ht="114.95" customHeight="1" x14ac:dyDescent="1.35">
      <c r="D112" s="119"/>
      <c r="E112" s="82"/>
    </row>
    <row r="113" spans="1:14" ht="114.95" customHeight="1" x14ac:dyDescent="1.35">
      <c r="D113" s="119"/>
      <c r="E113" s="82"/>
    </row>
    <row r="115" spans="1:14" ht="114.95" customHeight="1" x14ac:dyDescent="1.35">
      <c r="J115" s="83"/>
    </row>
    <row r="116" spans="1:14" ht="114.95" customHeight="1" x14ac:dyDescent="1.35">
      <c r="E116" s="84"/>
      <c r="N116" s="85"/>
    </row>
    <row r="117" spans="1:14" ht="114.95" customHeight="1" x14ac:dyDescent="1.35">
      <c r="A117" s="97"/>
      <c r="B117" s="84"/>
      <c r="C117" s="84"/>
    </row>
    <row r="121" spans="1:14" ht="114.95" customHeight="1" x14ac:dyDescent="1.35">
      <c r="H121" s="84"/>
    </row>
    <row r="123" spans="1:14" ht="114.95" customHeight="1" x14ac:dyDescent="1.35">
      <c r="E123" s="83"/>
    </row>
  </sheetData>
  <mergeCells count="8">
    <mergeCell ref="A4:O4"/>
    <mergeCell ref="A5:O5"/>
    <mergeCell ref="A6:O6"/>
    <mergeCell ref="A97:O97"/>
    <mergeCell ref="A98:O98"/>
    <mergeCell ref="A93:H93"/>
    <mergeCell ref="A94:K94"/>
    <mergeCell ref="A92:F92"/>
  </mergeCells>
  <pageMargins left="0.78740157480314965" right="0.11811023622047245" top="0" bottom="0" header="0.31496062992125984" footer="0.31496062992125984"/>
  <pageSetup paperSize="5" scale="10" fitToWidth="0" orientation="landscape" r:id="rId1"/>
  <headerFooter>
    <oddFooter>&amp;L&amp;8&amp;F&amp;C&amp;8Pág. &amp;P de &amp;N&amp;R&amp;8&amp;D-&amp;T</oddFooter>
  </headerFooter>
  <rowBreaks count="2" manualBreakCount="2">
    <brk id="37" max="15" man="1"/>
    <brk id="6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2025</vt:lpstr>
      <vt:lpstr>'Ejec. Presup 2025'!Área_de_impresión</vt:lpstr>
      <vt:lpstr>'Ejec. Presup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2026-01-13T16:33:20Z</cp:lastPrinted>
  <dcterms:created xsi:type="dcterms:W3CDTF">2017-12-09T22:11:36Z</dcterms:created>
  <dcterms:modified xsi:type="dcterms:W3CDTF">2026-01-13T16:34:47Z</dcterms:modified>
</cp:coreProperties>
</file>