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ennifer Segura\Downloads\"/>
    </mc:Choice>
  </mc:AlternateContent>
  <bookViews>
    <workbookView xWindow="0" yWindow="0" windowWidth="20490" windowHeight="7650"/>
  </bookViews>
  <sheets>
    <sheet name="Ejec. Presup 2024" sheetId="1" r:id="rId1"/>
  </sheets>
  <definedNames>
    <definedName name="_xlnm.Print_Area" localSheetId="0">'Ejec. Presup 2024'!$A$1:$N$106</definedName>
    <definedName name="_xlnm.Print_Titles" localSheetId="0">'Ejec. Presup 2024'!$7:$7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9" i="1"/>
  <c r="K35" i="1" l="1"/>
  <c r="L35" i="1"/>
  <c r="M35" i="1"/>
  <c r="L31" i="1" l="1"/>
  <c r="L29" i="1"/>
  <c r="L27" i="1"/>
  <c r="N27" i="1" s="1"/>
  <c r="K30" i="1" l="1"/>
  <c r="L30" i="1" l="1"/>
  <c r="M30" i="1" s="1"/>
  <c r="J17" i="1"/>
  <c r="K17" i="1" l="1"/>
  <c r="L17" i="1" s="1"/>
  <c r="M17" i="1" s="1"/>
  <c r="N30" i="1"/>
  <c r="D53" i="1"/>
  <c r="D54" i="1"/>
  <c r="D55" i="1"/>
  <c r="D57" i="1"/>
  <c r="D58" i="1"/>
  <c r="D59" i="1"/>
  <c r="D60" i="1"/>
  <c r="N17" i="1" l="1"/>
  <c r="D17" i="1" s="1"/>
  <c r="I28" i="1"/>
  <c r="I24" i="1"/>
  <c r="I20" i="1"/>
  <c r="J24" i="1" l="1"/>
  <c r="J28" i="1"/>
  <c r="K28" i="1"/>
  <c r="L28" i="1" s="1"/>
  <c r="J20" i="1"/>
  <c r="H52" i="1"/>
  <c r="K20" i="1" l="1"/>
  <c r="L20" i="1" s="1"/>
  <c r="M20" i="1" s="1"/>
  <c r="M28" i="1"/>
  <c r="N28" i="1" s="1"/>
  <c r="K24" i="1"/>
  <c r="I52" i="1"/>
  <c r="H56" i="1"/>
  <c r="H34" i="1"/>
  <c r="H23" i="1"/>
  <c r="H22" i="1"/>
  <c r="N20" i="1" l="1"/>
  <c r="L24" i="1"/>
  <c r="M24" i="1" s="1"/>
  <c r="J52" i="1"/>
  <c r="K52" i="1" s="1"/>
  <c r="I23" i="1"/>
  <c r="I34" i="1"/>
  <c r="I56" i="1"/>
  <c r="J56" i="1" s="1"/>
  <c r="I22" i="1"/>
  <c r="J22" i="1" s="1"/>
  <c r="G26" i="1"/>
  <c r="G19" i="1"/>
  <c r="G18" i="1"/>
  <c r="G12" i="1"/>
  <c r="K34" i="1" l="1"/>
  <c r="J34" i="1"/>
  <c r="L52" i="1"/>
  <c r="M52" i="1"/>
  <c r="N52" i="1"/>
  <c r="D52" i="1" s="1"/>
  <c r="N24" i="1"/>
  <c r="K56" i="1"/>
  <c r="L56" i="1" s="1"/>
  <c r="K22" i="1"/>
  <c r="J23" i="1"/>
  <c r="H26" i="1"/>
  <c r="I26" i="1" s="1"/>
  <c r="H18" i="1"/>
  <c r="I18" i="1" s="1"/>
  <c r="H19" i="1"/>
  <c r="I19" i="1" s="1"/>
  <c r="F21" i="1"/>
  <c r="J18" i="1" l="1"/>
  <c r="K23" i="1"/>
  <c r="L23" i="1" s="1"/>
  <c r="L34" i="1"/>
  <c r="M34" i="1" s="1"/>
  <c r="N34" i="1" s="1"/>
  <c r="M56" i="1"/>
  <c r="D56" i="1" s="1"/>
  <c r="K51" i="1"/>
  <c r="J26" i="1"/>
  <c r="K26" i="1" s="1"/>
  <c r="K18" i="1"/>
  <c r="L22" i="1"/>
  <c r="L51" i="1"/>
  <c r="J19" i="1"/>
  <c r="G21" i="1"/>
  <c r="F32" i="1"/>
  <c r="F16" i="1"/>
  <c r="F14" i="1"/>
  <c r="F11" i="1"/>
  <c r="F10" i="1"/>
  <c r="M23" i="1" l="1"/>
  <c r="N23" i="1" s="1"/>
  <c r="L18" i="1"/>
  <c r="M18" i="1" s="1"/>
  <c r="M51" i="1"/>
  <c r="L26" i="1"/>
  <c r="M26" i="1" s="1"/>
  <c r="K19" i="1"/>
  <c r="M22" i="1"/>
  <c r="N22" i="1" s="1"/>
  <c r="G10" i="1"/>
  <c r="F25" i="1"/>
  <c r="G32" i="1"/>
  <c r="G25" i="1" s="1"/>
  <c r="G11" i="1"/>
  <c r="G14" i="1"/>
  <c r="H21" i="1"/>
  <c r="G16" i="1"/>
  <c r="I21" i="1" l="1"/>
  <c r="K21" i="1"/>
  <c r="L21" i="1" s="1"/>
  <c r="N26" i="1"/>
  <c r="D26" i="1" s="1"/>
  <c r="N18" i="1"/>
  <c r="L19" i="1"/>
  <c r="H10" i="1"/>
  <c r="H32" i="1"/>
  <c r="J21" i="1"/>
  <c r="H11" i="1"/>
  <c r="H16" i="1"/>
  <c r="I16" i="1" s="1"/>
  <c r="H14" i="1"/>
  <c r="D13" i="1"/>
  <c r="D12" i="1"/>
  <c r="D34" i="1"/>
  <c r="D33" i="1"/>
  <c r="D31" i="1"/>
  <c r="D30" i="1"/>
  <c r="D29" i="1"/>
  <c r="D28" i="1"/>
  <c r="D27" i="1"/>
  <c r="D24" i="1"/>
  <c r="D23" i="1"/>
  <c r="D22" i="1"/>
  <c r="D20" i="1"/>
  <c r="D18" i="1"/>
  <c r="M21" i="1" l="1"/>
  <c r="I32" i="1"/>
  <c r="J32" i="1" s="1"/>
  <c r="I11" i="1"/>
  <c r="J11" i="1" s="1"/>
  <c r="I10" i="1"/>
  <c r="N21" i="1"/>
  <c r="D21" i="1" s="1"/>
  <c r="I14" i="1"/>
  <c r="J16" i="1"/>
  <c r="K16" i="1" s="1"/>
  <c r="K15" i="1" s="1"/>
  <c r="M19" i="1"/>
  <c r="N19" i="1" s="1"/>
  <c r="J10" i="1"/>
  <c r="P9" i="1"/>
  <c r="K32" i="1" l="1"/>
  <c r="K11" i="1"/>
  <c r="K25" i="1"/>
  <c r="L32" i="1"/>
  <c r="D19" i="1"/>
  <c r="J14" i="1"/>
  <c r="L16" i="1"/>
  <c r="M16" i="1" s="1"/>
  <c r="N16" i="1" s="1"/>
  <c r="K10" i="1"/>
  <c r="L10" i="1" s="1"/>
  <c r="K14" i="1" l="1"/>
  <c r="K9" i="1" s="1"/>
  <c r="K73" i="1" s="1"/>
  <c r="K86" i="1" s="1"/>
  <c r="M32" i="1"/>
  <c r="M10" i="1"/>
  <c r="D16" i="1"/>
  <c r="D15" i="1" s="1"/>
  <c r="L14" i="1"/>
  <c r="M14" i="1" s="1"/>
  <c r="N14" i="1" s="1"/>
  <c r="L11" i="1"/>
  <c r="G61" i="1"/>
  <c r="G43" i="1"/>
  <c r="H43" i="1"/>
  <c r="I43" i="1"/>
  <c r="J43" i="1"/>
  <c r="G35" i="1"/>
  <c r="H35" i="1"/>
  <c r="I35" i="1"/>
  <c r="J35" i="1"/>
  <c r="M11" i="1" l="1"/>
  <c r="N10" i="1"/>
  <c r="D10" i="1" s="1"/>
  <c r="N32" i="1"/>
  <c r="D32" i="1" s="1"/>
  <c r="D25" i="1" s="1"/>
  <c r="D14" i="1"/>
  <c r="H61" i="1"/>
  <c r="I61" i="1"/>
  <c r="N11" i="1" l="1"/>
  <c r="D11" i="1" s="1"/>
  <c r="D9" i="1" s="1"/>
  <c r="G82" i="1"/>
  <c r="G79" i="1"/>
  <c r="G76" i="1"/>
  <c r="G69" i="1"/>
  <c r="G66" i="1"/>
  <c r="J61" i="1" l="1"/>
  <c r="G84" i="1"/>
  <c r="F82" i="1" l="1"/>
  <c r="F79" i="1"/>
  <c r="F76" i="1"/>
  <c r="F66" i="1"/>
  <c r="F61" i="1"/>
  <c r="F43" i="1"/>
  <c r="F35" i="1"/>
  <c r="F84" i="1" l="1"/>
  <c r="H51" i="1"/>
  <c r="G51" i="1"/>
  <c r="F9" i="1"/>
  <c r="F51" i="1"/>
  <c r="F15" i="1"/>
  <c r="B15" i="1"/>
  <c r="E82" i="1"/>
  <c r="E79" i="1"/>
  <c r="E76" i="1"/>
  <c r="F69" i="1"/>
  <c r="E66" i="1"/>
  <c r="E61" i="1"/>
  <c r="E51" i="1"/>
  <c r="E43" i="1"/>
  <c r="E35" i="1"/>
  <c r="E25" i="1"/>
  <c r="E15" i="1"/>
  <c r="E9" i="1"/>
  <c r="F73" i="1" l="1"/>
  <c r="E73" i="1"/>
  <c r="G9" i="1"/>
  <c r="G15" i="1"/>
  <c r="I51" i="1"/>
  <c r="E84" i="1"/>
  <c r="E86" i="1" s="1"/>
  <c r="D45" i="1"/>
  <c r="G73" i="1" l="1"/>
  <c r="J51" i="1"/>
  <c r="H9" i="1"/>
  <c r="H25" i="1"/>
  <c r="J15" i="1" l="1"/>
  <c r="I25" i="1"/>
  <c r="J25" i="1"/>
  <c r="I15" i="1"/>
  <c r="I9" i="1"/>
  <c r="H15" i="1"/>
  <c r="H73" i="1" s="1"/>
  <c r="C25" i="1"/>
  <c r="C51" i="1"/>
  <c r="C61" i="1"/>
  <c r="B9" i="1"/>
  <c r="B25" i="1"/>
  <c r="B51" i="1"/>
  <c r="B61" i="1"/>
  <c r="C43" i="1"/>
  <c r="B43" i="1"/>
  <c r="C35" i="1"/>
  <c r="B35" i="1"/>
  <c r="D36" i="1"/>
  <c r="D37" i="1"/>
  <c r="D38" i="1"/>
  <c r="D39" i="1"/>
  <c r="D40" i="1"/>
  <c r="D41" i="1"/>
  <c r="D42" i="1"/>
  <c r="D44" i="1"/>
  <c r="D46" i="1"/>
  <c r="D47" i="1"/>
  <c r="D48" i="1"/>
  <c r="D49" i="1"/>
  <c r="D50" i="1"/>
  <c r="D66" i="1"/>
  <c r="D69" i="1"/>
  <c r="J76" i="1"/>
  <c r="D82" i="1"/>
  <c r="D80" i="1"/>
  <c r="D79" i="1" s="1"/>
  <c r="I84" i="1"/>
  <c r="H84" i="1"/>
  <c r="I73" i="1" l="1"/>
  <c r="B73" i="1"/>
  <c r="H86" i="1"/>
  <c r="J9" i="1"/>
  <c r="J73" i="1" s="1"/>
  <c r="C73" i="1"/>
  <c r="D35" i="1"/>
  <c r="F86" i="1"/>
  <c r="D43" i="1"/>
  <c r="L9" i="1" l="1"/>
  <c r="L73" i="1" s="1"/>
  <c r="C86" i="1"/>
  <c r="B86" i="1"/>
  <c r="M9" i="1" l="1"/>
  <c r="D51" i="1"/>
  <c r="N9" i="1" l="1"/>
  <c r="J86" i="1"/>
  <c r="O9" i="1" l="1"/>
  <c r="G86" i="1" l="1"/>
  <c r="M73" i="1"/>
  <c r="M86" i="1" s="1"/>
  <c r="L86" i="1" l="1"/>
  <c r="N73" i="1"/>
  <c r="N86" i="1" s="1"/>
  <c r="O73" i="1" l="1"/>
  <c r="O86" i="1" s="1"/>
  <c r="D61" i="1"/>
  <c r="D73" i="1" s="1"/>
  <c r="D76" i="1" l="1"/>
  <c r="D84" i="1" s="1"/>
  <c r="D86" i="1" s="1"/>
  <c r="P73" i="1"/>
  <c r="P86" i="1" s="1"/>
  <c r="I86" i="1"/>
</calcChain>
</file>

<file path=xl/sharedStrings.xml><?xml version="1.0" encoding="utf-8"?>
<sst xmlns="http://schemas.openxmlformats.org/spreadsheetml/2006/main" count="102" uniqueCount="102">
  <si>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</si>
  <si>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</si>
  <si>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</si>
  <si>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</si>
  <si>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</si>
  <si>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</si>
  <si>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</si>
  <si>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</si>
  <si>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</si>
  <si>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</si>
  <si>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</si>
  <si>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</si>
  <si>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</si>
  <si>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</si>
  <si>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</si>
  <si>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</si>
  <si>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</si>
  <si>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</si>
  <si>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</si>
  <si>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</si>
  <si>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</si>
  <si>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</si>
  <si>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</si>
  <si>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</si>
  <si>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</si>
  <si>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</si>
  <si>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</si>
  <si>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</si>
  <si>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</si>
  <si>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</si>
  <si>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</si>
  <si>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</si>
  <si>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</si>
  <si>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</si>
  <si>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</si>
  <si>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</si>
  <si>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</si>
  <si>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</si>
  <si>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</si>
  <si>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</si>
  <si>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</si>
  <si>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</si>
  <si>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</si>
  <si>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</si>
  <si>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</si>
  <si>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</si>
  <si>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</si>
  <si>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</si>
  <si>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</si>
  <si>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</si>
  <si>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</si>
  <si>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</si>
  <si>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</si>
  <si>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</si>
  <si>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</si>
  <si>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</si>
  <si>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</si>
  <si>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</si>
  <si>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</si>
  <si>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</si>
  <si>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</si>
  <si>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</si>
  <si>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</si>
  <si>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</si>
  <si>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</si>
  <si>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</si>
  <si>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</si>
  <si>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</si>
  <si>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</si>
  <si>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</si>
  <si>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</si>
  <si>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</si>
  <si>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</si>
  <si>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</si>
  <si>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</si>
  <si>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</si>
  <si>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</si>
  <si>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</si>
  <si>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</si>
  <si>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</si>
  <si>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</si>
  <si>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</si>
  <si>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</si>
  <si>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</si>
  <si>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</si>
  <si>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</si>
  <si>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</si>
  <si>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</si>
  <si>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DIRECTORA FINANCIERA</t>
  </si>
  <si>
    <t>2.2.9 - SERVICIOS DE ALIMENTACION</t>
  </si>
  <si>
    <t>Presupuesto Aprobado</t>
  </si>
  <si>
    <t xml:space="preserve">Presupuesto Modificado </t>
  </si>
  <si>
    <t>FUENTE: SIGEF</t>
  </si>
  <si>
    <r>
      <rPr>
        <b/>
        <sz val="72"/>
        <color theme="1"/>
        <rFont val="Arial Black"/>
        <family val="2"/>
      </rPr>
      <t xml:space="preserve">Presupuesto Modificado: </t>
    </r>
    <r>
      <rPr>
        <b/>
        <sz val="72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</si>
  <si>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72"/>
        <color theme="1"/>
        <rFont val="Arial Black"/>
        <family val="2"/>
      </rPr>
      <t>Total Devengado:</t>
    </r>
    <r>
      <rPr>
        <b/>
        <sz val="72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</si>
  <si>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DETALLE</t>
  </si>
  <si>
    <t xml:space="preserve">INSTITUTO DE DESARROLLO Y CREDITO COOPERATIVO </t>
  </si>
  <si>
    <t>IDECOOP</t>
  </si>
  <si>
    <r>
      <rPr>
        <b/>
        <sz val="72"/>
        <color theme="1"/>
        <rFont val="Arial Black"/>
        <family val="2"/>
      </rPr>
      <t>Presupuesto Aprobado:</t>
    </r>
    <r>
      <rPr>
        <b/>
        <sz val="72"/>
        <color theme="1"/>
        <rFont val="Arial"/>
        <family val="2"/>
      </rPr>
      <t xml:space="preserve"> se refiere al presupuesto aprobado en la Ley de Presupuesto General del Estado</t>
    </r>
  </si>
  <si>
    <t>2.1 RENUMERACIONES Y CONTRIBUCIONES</t>
  </si>
  <si>
    <t>Licda Bernarda Gómez</t>
  </si>
  <si>
    <t>EJECUCION PRESUPUESTARIA OCTUBRE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</si>
</sst>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-* #,##0.00_-;\-* #,##0.00_-;_-* &quot;-&quot;??_-;_-@_-"/>
    <numFmt numFmtId="166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72"/>
      <color theme="1"/>
      <name val="Arial"/>
      <family val="2"/>
    </font>
    <font>
      <sz val="72"/>
      <color theme="1"/>
      <name val="Calibri"/>
      <family val="2"/>
      <scheme val="minor"/>
    </font>
    <font>
      <sz val="72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72"/>
      <name val="Calibri"/>
      <family val="2"/>
      <scheme val="minor"/>
    </font>
    <font>
      <b/>
      <sz val="72"/>
      <color theme="1"/>
      <name val="Arial Black"/>
      <family val="2"/>
    </font>
    <font>
      <b/>
      <sz val="72"/>
      <color theme="1"/>
      <name val="Arial"/>
      <family val="2"/>
    </font>
    <font>
      <b/>
      <sz val="60"/>
      <color theme="1"/>
      <name val="Calibri"/>
      <family val="2"/>
      <scheme val="minor"/>
    </font>
    <font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sz val="60"/>
      <name val="Calibri"/>
      <family val="2"/>
      <scheme val="minor"/>
    </font>
    <font>
      <b/>
      <sz val="58"/>
      <color theme="1"/>
      <name val="Calibri"/>
      <family val="2"/>
      <scheme val="minor"/>
    </font>
    <font>
      <sz val="55"/>
      <color theme="1"/>
      <name val="Calibri"/>
      <family val="2"/>
      <scheme val="minor"/>
    </font>
    <font>
      <b/>
      <sz val="55"/>
      <color theme="1"/>
      <name val="Calibri"/>
      <family val="2"/>
      <scheme val="minor"/>
    </font>
    <font>
      <b/>
      <sz val="55"/>
      <color theme="1"/>
      <name val="Arial"/>
      <family val="2"/>
    </font>
    <font>
      <b/>
      <sz val="90"/>
      <color theme="1"/>
      <name val="Arial Black"/>
      <family val="2"/>
    </font>
    <font>
      <b/>
      <u/>
      <sz val="110"/>
      <color theme="1"/>
      <name val="Arial"/>
      <family val="2"/>
    </font>
    <font>
      <b/>
      <sz val="72"/>
      <name val="Arial"/>
      <family val="2"/>
    </font>
    <font>
      <b/>
      <sz val="125"/>
      <color theme="1"/>
      <name val="Arial Black"/>
      <family val="2"/>
    </font>
    <font>
      <b/>
      <sz val="85"/>
      <color theme="1"/>
      <name val="Arial Black"/>
      <family val="2"/>
    </font>
    <font>
      <b/>
      <sz val="80"/>
      <color theme="1"/>
      <name val="Arial Black"/>
      <family val="2"/>
    </font>
    <font>
      <b/>
      <sz val="80"/>
      <name val="Arial Black"/>
      <family val="2"/>
    </font>
    <font>
      <b/>
      <sz val="72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60">
    <xf numFmtId="0" fontId="0" fillId="0" borderId="0" xfId="0"/>
    <xf numFmtId="0" fontId="3" fillId="0" borderId="0" xfId="0" applyFont="1" applyAlignment="1">
      <alignment wrapText="1"/>
    </xf>
    <xf numFmtId="4" fontId="3" fillId="3" borderId="0" xfId="0" applyNumberFormat="1" applyFont="1" applyFill="1"/>
    <xf numFmtId="0" fontId="3" fillId="0" borderId="0" xfId="0" applyFont="1"/>
    <xf numFmtId="165" fontId="3" fillId="0" borderId="0" xfId="1" applyFont="1"/>
    <xf numFmtId="0" fontId="3" fillId="3" borderId="0" xfId="0" applyFont="1" applyFill="1"/>
    <xf numFmtId="4" fontId="4" fillId="5" borderId="0" xfId="0" applyNumberFormat="1" applyFont="1" applyFill="1"/>
    <xf numFmtId="0" fontId="3" fillId="4" borderId="0" xfId="0" applyFont="1" applyFill="1"/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3" borderId="1" xfId="1" applyNumberFormat="1" applyFont="1" applyFill="1" applyBorder="1" applyAlignment="1">
      <alignment horizontal="left" vertical="center" wrapText="1"/>
    </xf>
    <xf numFmtId="165" fontId="5" fillId="0" borderId="1" xfId="1" applyFont="1" applyBorder="1" applyAlignment="1">
      <alignment horizontal="left" vertical="center" wrapText="1"/>
    </xf>
    <xf numFmtId="165" fontId="5" fillId="3" borderId="1" xfId="1" applyFont="1" applyFill="1" applyBorder="1" applyAlignment="1">
      <alignment horizontal="left" vertical="center" wrapText="1"/>
    </xf>
    <xf numFmtId="4" fontId="6" fillId="3" borderId="1" xfId="1" applyNumberFormat="1" applyFont="1" applyFill="1" applyBorder="1" applyAlignment="1">
      <alignment horizontal="left" vertical="center" wrapText="1"/>
    </xf>
    <xf numFmtId="4" fontId="3" fillId="0" borderId="0" xfId="0" applyNumberFormat="1" applyFont="1"/>
    <xf numFmtId="4" fontId="4" fillId="3" borderId="0" xfId="0" applyNumberFormat="1" applyFont="1" applyFill="1"/>
    <xf numFmtId="165" fontId="3" fillId="0" borderId="0" xfId="0" applyNumberFormat="1" applyFont="1"/>
    <xf numFmtId="4" fontId="5" fillId="3" borderId="0" xfId="0" applyNumberFormat="1" applyFont="1" applyFill="1"/>
    <xf numFmtId="0" fontId="3" fillId="0" borderId="0" xfId="0" applyFont="1" applyAlignment="1"/>
    <xf numFmtId="164" fontId="3" fillId="0" borderId="0" xfId="0" applyNumberFormat="1" applyFont="1" applyAlignment="1">
      <alignment wrapText="1"/>
    </xf>
    <xf numFmtId="0" fontId="8" fillId="0" borderId="0" xfId="0" applyFont="1" applyAlignment="1">
      <alignment horizontal="left" wrapText="1"/>
    </xf>
    <xf numFmtId="0" fontId="3" fillId="5" borderId="0" xfId="0" applyFont="1" applyFill="1"/>
    <xf numFmtId="4" fontId="3" fillId="5" borderId="0" xfId="0" applyNumberFormat="1" applyFont="1" applyFill="1"/>
    <xf numFmtId="165" fontId="4" fillId="5" borderId="0" xfId="1" applyFont="1" applyFill="1"/>
    <xf numFmtId="4" fontId="3" fillId="0" borderId="0" xfId="0" applyNumberFormat="1" applyFont="1" applyAlignment="1">
      <alignment wrapText="1"/>
    </xf>
    <xf numFmtId="165" fontId="9" fillId="0" borderId="0" xfId="1" applyFont="1" applyAlignment="1">
      <alignment horizontal="left" vertical="center" wrapText="1"/>
    </xf>
    <xf numFmtId="4" fontId="9" fillId="3" borderId="0" xfId="1" applyNumberFormat="1" applyFont="1" applyFill="1"/>
    <xf numFmtId="165" fontId="9" fillId="3" borderId="0" xfId="1" applyFont="1" applyFill="1"/>
    <xf numFmtId="165" fontId="10" fillId="3" borderId="0" xfId="1" applyFont="1" applyFill="1"/>
    <xf numFmtId="165" fontId="10" fillId="0" borderId="0" xfId="1" applyFont="1" applyAlignment="1">
      <alignment horizontal="left" vertical="center" wrapText="1"/>
    </xf>
    <xf numFmtId="4" fontId="10" fillId="3" borderId="0" xfId="1" applyNumberFormat="1" applyFont="1" applyFill="1"/>
    <xf numFmtId="4" fontId="10" fillId="0" borderId="0" xfId="0" applyNumberFormat="1" applyFont="1"/>
    <xf numFmtId="165" fontId="10" fillId="0" borderId="0" xfId="1" applyFont="1"/>
    <xf numFmtId="4" fontId="10" fillId="3" borderId="0" xfId="0" applyNumberFormat="1" applyFont="1" applyFill="1"/>
    <xf numFmtId="165" fontId="10" fillId="3" borderId="0" xfId="1" applyFont="1" applyFill="1" applyBorder="1"/>
    <xf numFmtId="4" fontId="11" fillId="3" borderId="0" xfId="1" applyNumberFormat="1" applyFont="1" applyFill="1"/>
    <xf numFmtId="4" fontId="11" fillId="3" borderId="0" xfId="0" applyNumberFormat="1" applyFont="1" applyFill="1"/>
    <xf numFmtId="165" fontId="10" fillId="3" borderId="0" xfId="0" applyNumberFormat="1" applyFont="1" applyFill="1"/>
    <xf numFmtId="165" fontId="10" fillId="0" borderId="0" xfId="1" applyFont="1" applyAlignment="1">
      <alignment vertical="center" wrapText="1"/>
    </xf>
    <xf numFmtId="164" fontId="10" fillId="0" borderId="0" xfId="0" applyNumberFormat="1" applyFont="1"/>
    <xf numFmtId="0" fontId="10" fillId="3" borderId="0" xfId="0" applyFont="1" applyFill="1"/>
    <xf numFmtId="164" fontId="10" fillId="3" borderId="0" xfId="0" applyNumberFormat="1" applyFont="1" applyFill="1"/>
    <xf numFmtId="0" fontId="9" fillId="3" borderId="0" xfId="0" applyFont="1" applyFill="1"/>
    <xf numFmtId="4" fontId="9" fillId="3" borderId="0" xfId="0" applyNumberFormat="1" applyFont="1" applyFill="1"/>
    <xf numFmtId="165" fontId="10" fillId="0" borderId="0" xfId="0" applyNumberFormat="1" applyFont="1"/>
    <xf numFmtId="165" fontId="10" fillId="3" borderId="0" xfId="0" applyNumberFormat="1" applyFont="1" applyFill="1" applyBorder="1"/>
    <xf numFmtId="165" fontId="11" fillId="3" borderId="0" xfId="1" applyFont="1" applyFill="1" applyBorder="1"/>
    <xf numFmtId="164" fontId="10" fillId="3" borderId="0" xfId="0" applyNumberFormat="1" applyFont="1" applyFill="1" applyBorder="1"/>
    <xf numFmtId="0" fontId="9" fillId="3" borderId="0" xfId="0" applyFont="1" applyFill="1" applyBorder="1"/>
    <xf numFmtId="3" fontId="10" fillId="3" borderId="0" xfId="0" applyNumberFormat="1" applyFont="1" applyFill="1"/>
    <xf numFmtId="166" fontId="10" fillId="0" borderId="0" xfId="0" applyNumberFormat="1" applyFont="1"/>
    <xf numFmtId="0" fontId="10" fillId="0" borderId="0" xfId="0" applyFont="1"/>
    <xf numFmtId="166" fontId="10" fillId="3" borderId="0" xfId="0" applyNumberFormat="1" applyFont="1" applyFill="1" applyBorder="1"/>
    <xf numFmtId="166" fontId="10" fillId="3" borderId="0" xfId="0" applyNumberFormat="1" applyFont="1" applyFill="1"/>
    <xf numFmtId="165" fontId="10" fillId="0" borderId="0" xfId="1" applyFont="1" applyAlignment="1"/>
    <xf numFmtId="165" fontId="10" fillId="3" borderId="0" xfId="0" applyNumberFormat="1" applyFont="1" applyFill="1" applyAlignment="1"/>
    <xf numFmtId="4" fontId="10" fillId="3" borderId="0" xfId="0" applyNumberFormat="1" applyFont="1" applyFill="1" applyAlignment="1"/>
    <xf numFmtId="4" fontId="11" fillId="3" borderId="0" xfId="0" applyNumberFormat="1" applyFont="1" applyFill="1" applyAlignment="1"/>
    <xf numFmtId="0" fontId="10" fillId="0" borderId="0" xfId="0" applyFont="1" applyAlignment="1"/>
    <xf numFmtId="0" fontId="10" fillId="3" borderId="0" xfId="0" applyFont="1" applyFill="1" applyAlignment="1"/>
    <xf numFmtId="0" fontId="10" fillId="3" borderId="0" xfId="0" applyFont="1" applyFill="1" applyBorder="1" applyAlignment="1"/>
    <xf numFmtId="165" fontId="10" fillId="0" borderId="0" xfId="0" applyNumberFormat="1" applyFont="1" applyAlignment="1">
      <alignment wrapText="1"/>
    </xf>
    <xf numFmtId="0" fontId="10" fillId="3" borderId="0" xfId="0" applyFont="1" applyFill="1" applyBorder="1"/>
    <xf numFmtId="164" fontId="9" fillId="2" borderId="2" xfId="0" applyNumberFormat="1" applyFont="1" applyFill="1" applyBorder="1" applyAlignment="1">
      <alignment horizontal="center" vertical="center" wrapText="1"/>
    </xf>
    <xf numFmtId="166" fontId="9" fillId="2" borderId="2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4" fontId="12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vertical="center" wrapText="1"/>
    </xf>
    <xf numFmtId="166" fontId="9" fillId="0" borderId="1" xfId="0" applyNumberFormat="1" applyFont="1" applyBorder="1" applyAlignment="1">
      <alignment vertical="center" wrapText="1"/>
    </xf>
    <xf numFmtId="165" fontId="9" fillId="0" borderId="1" xfId="1" applyFont="1" applyBorder="1" applyAlignment="1">
      <alignment vertical="center" wrapText="1"/>
    </xf>
    <xf numFmtId="166" fontId="9" fillId="3" borderId="1" xfId="0" applyNumberFormat="1" applyFont="1" applyFill="1" applyBorder="1" applyAlignment="1">
      <alignment vertical="center" wrapText="1"/>
    </xf>
    <xf numFmtId="4" fontId="12" fillId="3" borderId="1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164" fontId="9" fillId="0" borderId="0" xfId="0" applyNumberFormat="1" applyFont="1" applyAlignment="1">
      <alignment horizontal="left" vertical="center" wrapText="1"/>
    </xf>
    <xf numFmtId="164" fontId="10" fillId="0" borderId="0" xfId="0" applyNumberFormat="1" applyFont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4" fontId="9" fillId="2" borderId="2" xfId="0" applyNumberFormat="1" applyFont="1" applyFill="1" applyBorder="1" applyAlignment="1">
      <alignment horizontal="right" vertical="center" wrapText="1"/>
    </xf>
    <xf numFmtId="165" fontId="9" fillId="2" borderId="2" xfId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164" fontId="9" fillId="0" borderId="0" xfId="0" applyNumberFormat="1" applyFont="1" applyAlignment="1">
      <alignment wrapText="1"/>
    </xf>
    <xf numFmtId="4" fontId="9" fillId="2" borderId="0" xfId="0" applyNumberFormat="1" applyFont="1" applyFill="1" applyBorder="1" applyAlignment="1">
      <alignment horizontal="right" vertical="center" wrapText="1"/>
    </xf>
    <xf numFmtId="165" fontId="9" fillId="2" borderId="0" xfId="1" applyFont="1" applyFill="1" applyBorder="1" applyAlignment="1">
      <alignment horizontal="center" vertical="center" wrapText="1"/>
    </xf>
    <xf numFmtId="166" fontId="9" fillId="2" borderId="0" xfId="0" applyNumberFormat="1" applyFont="1" applyFill="1" applyBorder="1" applyAlignment="1">
      <alignment horizontal="center" vertical="center" wrapText="1"/>
    </xf>
    <xf numFmtId="4" fontId="9" fillId="2" borderId="0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9" fillId="2" borderId="3" xfId="0" applyFont="1" applyFill="1" applyBorder="1" applyAlignment="1">
      <alignment horizontal="center" vertical="center" wrapText="1"/>
    </xf>
    <xf numFmtId="165" fontId="13" fillId="0" borderId="0" xfId="1" applyFont="1" applyAlignment="1">
      <alignment horizontal="left" vertical="center" wrapText="1"/>
    </xf>
    <xf numFmtId="165" fontId="9" fillId="0" borderId="1" xfId="1" applyFont="1" applyBorder="1" applyAlignment="1">
      <alignment horizontal="left" vertical="center" wrapText="1"/>
    </xf>
    <xf numFmtId="165" fontId="10" fillId="0" borderId="0" xfId="0" applyNumberFormat="1" applyFont="1" applyAlignment="1"/>
    <xf numFmtId="0" fontId="7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left" wrapText="1"/>
    </xf>
    <xf numFmtId="4" fontId="14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1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7" fillId="0" borderId="0" xfId="0" applyFont="1" applyAlignment="1"/>
    <xf numFmtId="165" fontId="9" fillId="3" borderId="0" xfId="1" applyFont="1" applyFill="1" applyAlignment="1">
      <alignment horizontal="left" vertical="center" wrapText="1"/>
    </xf>
    <xf numFmtId="0" fontId="8" fillId="3" borderId="0" xfId="0" applyFont="1" applyFill="1" applyAlignment="1">
      <alignment horizontal="left" wrapText="1"/>
    </xf>
    <xf numFmtId="4" fontId="8" fillId="3" borderId="0" xfId="0" applyNumberFormat="1" applyFont="1" applyFill="1" applyAlignment="1">
      <alignment horizontal="left" wrapText="1"/>
    </xf>
    <xf numFmtId="0" fontId="8" fillId="0" borderId="0" xfId="0" applyFont="1" applyAlignment="1">
      <alignment horizontal="left" wrapText="1"/>
    </xf>
    <xf numFmtId="0" fontId="9" fillId="0" borderId="0" xfId="0" applyFont="1"/>
    <xf numFmtId="165" fontId="9" fillId="3" borderId="0" xfId="1" applyFont="1" applyFill="1" applyBorder="1"/>
    <xf numFmtId="4" fontId="10" fillId="0" borderId="0" xfId="0" applyNumberFormat="1" applyFont="1" applyBorder="1"/>
    <xf numFmtId="165" fontId="10" fillId="0" borderId="0" xfId="0" applyNumberFormat="1" applyFont="1" applyBorder="1"/>
    <xf numFmtId="0" fontId="10" fillId="0" borderId="0" xfId="0" applyFont="1" applyBorder="1"/>
    <xf numFmtId="166" fontId="10" fillId="0" borderId="0" xfId="0" applyNumberFormat="1" applyFont="1" applyBorder="1"/>
    <xf numFmtId="3" fontId="10" fillId="0" borderId="0" xfId="0" applyNumberFormat="1" applyFont="1" applyBorder="1" applyAlignment="1"/>
    <xf numFmtId="0" fontId="10" fillId="0" borderId="0" xfId="0" applyFont="1" applyBorder="1" applyAlignment="1"/>
    <xf numFmtId="4" fontId="9" fillId="3" borderId="0" xfId="1" applyNumberFormat="1" applyFont="1" applyFill="1" applyBorder="1"/>
    <xf numFmtId="164" fontId="10" fillId="0" borderId="0" xfId="0" applyNumberFormat="1" applyFont="1" applyBorder="1"/>
    <xf numFmtId="4" fontId="9" fillId="3" borderId="0" xfId="0" applyNumberFormat="1" applyFont="1" applyFill="1" applyBorder="1"/>
    <xf numFmtId="0" fontId="9" fillId="0" borderId="0" xfId="0" applyFont="1" applyBorder="1"/>
    <xf numFmtId="0" fontId="3" fillId="3" borderId="0" xfId="0" applyFont="1" applyFill="1" applyBorder="1"/>
    <xf numFmtId="165" fontId="5" fillId="3" borderId="0" xfId="1" applyFont="1" applyFill="1" applyBorder="1" applyAlignment="1">
      <alignment horizontal="left" vertical="center" wrapText="1"/>
    </xf>
    <xf numFmtId="4" fontId="10" fillId="3" borderId="0" xfId="0" applyNumberFormat="1" applyFont="1" applyFill="1" applyBorder="1"/>
    <xf numFmtId="166" fontId="9" fillId="3" borderId="0" xfId="0" applyNumberFormat="1" applyFont="1" applyFill="1" applyBorder="1" applyAlignment="1">
      <alignment vertical="center" wrapText="1"/>
    </xf>
    <xf numFmtId="0" fontId="3" fillId="5" borderId="0" xfId="0" applyFont="1" applyFill="1" applyBorder="1"/>
    <xf numFmtId="0" fontId="4" fillId="3" borderId="0" xfId="0" applyFont="1" applyFill="1"/>
    <xf numFmtId="165" fontId="6" fillId="3" borderId="1" xfId="1" applyFont="1" applyFill="1" applyBorder="1" applyAlignment="1">
      <alignment horizontal="left" vertical="center" wrapText="1"/>
    </xf>
    <xf numFmtId="4" fontId="12" fillId="3" borderId="0" xfId="1" applyNumberFormat="1" applyFont="1" applyFill="1"/>
    <xf numFmtId="166" fontId="11" fillId="3" borderId="0" xfId="0" applyNumberFormat="1" applyFont="1" applyFill="1" applyAlignment="1">
      <alignment vertical="center" wrapText="1"/>
    </xf>
    <xf numFmtId="164" fontId="11" fillId="3" borderId="0" xfId="0" applyNumberFormat="1" applyFont="1" applyFill="1" applyAlignment="1">
      <alignment vertical="center" wrapText="1"/>
    </xf>
    <xf numFmtId="164" fontId="11" fillId="3" borderId="0" xfId="0" applyNumberFormat="1" applyFont="1" applyFill="1" applyAlignment="1">
      <alignment vertical="center"/>
    </xf>
    <xf numFmtId="166" fontId="11" fillId="3" borderId="0" xfId="0" applyNumberFormat="1" applyFont="1" applyFill="1" applyAlignment="1">
      <alignment vertical="center"/>
    </xf>
    <xf numFmtId="4" fontId="12" fillId="3" borderId="0" xfId="0" applyNumberFormat="1" applyFont="1" applyFill="1"/>
    <xf numFmtId="0" fontId="11" fillId="3" borderId="0" xfId="0" applyFont="1" applyFill="1"/>
    <xf numFmtId="166" fontId="12" fillId="3" borderId="1" xfId="0" applyNumberFormat="1" applyFont="1" applyFill="1" applyBorder="1" applyAlignment="1">
      <alignment vertical="center" wrapText="1"/>
    </xf>
    <xf numFmtId="4" fontId="12" fillId="2" borderId="2" xfId="0" applyNumberFormat="1" applyFont="1" applyFill="1" applyBorder="1" applyAlignment="1">
      <alignment horizontal="right" vertical="center" wrapText="1"/>
    </xf>
    <xf numFmtId="4" fontId="12" fillId="2" borderId="0" xfId="0" applyNumberFormat="1" applyFont="1" applyFill="1" applyBorder="1" applyAlignment="1">
      <alignment horizontal="right" vertical="center" wrapText="1"/>
    </xf>
    <xf numFmtId="0" fontId="19" fillId="3" borderId="0" xfId="0" applyFont="1" applyFill="1" applyAlignment="1">
      <alignment horizontal="left" wrapText="1"/>
    </xf>
    <xf numFmtId="0" fontId="6" fillId="3" borderId="0" xfId="0" applyFont="1" applyFill="1"/>
    <xf numFmtId="165" fontId="4" fillId="3" borderId="0" xfId="0" applyNumberFormat="1" applyFont="1" applyFill="1"/>
    <xf numFmtId="164" fontId="12" fillId="6" borderId="0" xfId="0" applyNumberFormat="1" applyFont="1" applyFill="1" applyBorder="1" applyAlignment="1">
      <alignment horizontal="left" vertical="center" wrapText="1"/>
    </xf>
    <xf numFmtId="164" fontId="4" fillId="3" borderId="0" xfId="0" applyNumberFormat="1" applyFont="1" applyFill="1"/>
    <xf numFmtId="4" fontId="9" fillId="6" borderId="2" xfId="0" applyNumberFormat="1" applyFont="1" applyFill="1" applyBorder="1" applyAlignment="1">
      <alignment horizontal="center" vertical="center" wrapText="1"/>
    </xf>
    <xf numFmtId="164" fontId="9" fillId="6" borderId="0" xfId="0" applyNumberFormat="1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22" fillId="6" borderId="3" xfId="0" applyFont="1" applyFill="1" applyBorder="1" applyAlignment="1">
      <alignment horizontal="center" vertical="center" wrapText="1"/>
    </xf>
    <xf numFmtId="4" fontId="22" fillId="6" borderId="3" xfId="0" applyNumberFormat="1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165" fontId="22" fillId="6" borderId="3" xfId="1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4" fontId="7" fillId="6" borderId="3" xfId="0" applyNumberFormat="1" applyFont="1" applyFill="1" applyBorder="1" applyAlignment="1">
      <alignment horizontal="center" vertical="center" wrapText="1"/>
    </xf>
    <xf numFmtId="4" fontId="24" fillId="6" borderId="4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21" fillId="0" borderId="6" xfId="0" applyFont="1" applyBorder="1" applyAlignment="1">
      <alignment horizontal="center" wrapText="1"/>
    </xf>
    <xf numFmtId="0" fontId="20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1659427</xdr:colOff>
      <xdr:row>2</xdr:row>
      <xdr:rowOff>408214</xdr:rowOff>
    </xdr:from>
    <xdr:to>
      <xdr:col>7</xdr:col>
      <xdr:colOff>3205076</xdr:colOff>
      <xdr:row>5</xdr:row>
      <xdr:rowOff>1020535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93177" y="7007678"/>
          <a:ext cx="13111720" cy="6463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1"/>
  <sheetViews>
    <sheetView tabSelected="1" view="pageBreakPreview" topLeftCell="C1" zoomScale="15" zoomScaleNormal="15" zoomScaleSheetLayoutView="15" zoomScalePageLayoutView="23" workbookViewId="0">
      <selection activeCell="A93" sqref="A93:E93"/>
    </sheetView>
  </sheetViews>
  <sheetFormatPr baseColWidth="10" defaultColWidth="9.140625" defaultRowHeight="92.25" x14ac:dyDescent="1.35"/>
  <cols>
    <col min="1" max="1" width="252.85546875" style="93" customWidth="1"/>
    <col min="2" max="2" width="107.7109375" style="1" customWidth="1"/>
    <col min="3" max="3" width="100.5703125" style="1" customWidth="1"/>
    <col min="4" max="4" width="86.28515625" style="2" customWidth="1"/>
    <col min="5" max="5" width="93.85546875" style="128" customWidth="1"/>
    <col min="6" max="6" width="87.42578125" style="4" customWidth="1"/>
    <col min="7" max="7" width="85.7109375" style="4" customWidth="1"/>
    <col min="8" max="8" width="84" style="3" customWidth="1"/>
    <col min="9" max="9" width="82.85546875" style="5" customWidth="1"/>
    <col min="10" max="10" width="87.42578125" style="3" customWidth="1"/>
    <col min="11" max="11" width="93.7109375" style="127" customWidth="1"/>
    <col min="12" max="12" width="96.28515625" style="21" customWidth="1"/>
    <col min="13" max="13" width="98.7109375" style="22" customWidth="1"/>
    <col min="14" max="14" width="98.140625" style="6" customWidth="1"/>
    <col min="15" max="15" width="111.5703125" style="7" customWidth="1"/>
    <col min="16" max="16" width="111.5703125" style="51" customWidth="1"/>
    <col min="17" max="17" width="49.140625" style="3" customWidth="1"/>
    <col min="18" max="16384" width="9.140625" style="3"/>
  </cols>
  <sheetData>
    <row r="1" spans="1:16" ht="318.75" customHeight="1" x14ac:dyDescent="3.5">
      <c r="A1" s="159" t="s">
        <v>96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04"/>
      <c r="P1" s="104"/>
    </row>
    <row r="2" spans="1:16" ht="195.75" customHeight="1" x14ac:dyDescent="3.5">
      <c r="A2" s="159" t="s">
        <v>97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04"/>
      <c r="P2" s="104"/>
    </row>
    <row r="3" spans="1:16" ht="370.5" customHeight="1" x14ac:dyDescent="1.35">
      <c r="K3" s="123"/>
      <c r="L3" s="5"/>
      <c r="M3" s="2"/>
      <c r="N3" s="15"/>
      <c r="O3" s="5"/>
    </row>
    <row r="4" spans="1:16" hidden="1" x14ac:dyDescent="1.35">
      <c r="B4" s="3"/>
      <c r="K4" s="123"/>
      <c r="L4" s="5"/>
      <c r="M4" s="2"/>
      <c r="N4" s="15"/>
      <c r="O4" s="5"/>
    </row>
    <row r="5" spans="1:16" x14ac:dyDescent="1.35">
      <c r="B5" s="3"/>
      <c r="K5" s="123"/>
      <c r="L5" s="5"/>
      <c r="M5" s="2"/>
      <c r="N5" s="15"/>
      <c r="O5" s="5"/>
    </row>
    <row r="6" spans="1:16" ht="189.75" customHeight="1" thickBot="1" x14ac:dyDescent="2.4">
      <c r="A6" s="158" t="s">
        <v>101</v>
      </c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5"/>
    </row>
    <row r="7" spans="1:16" s="5" customFormat="1" ht="378" customHeight="1" thickBot="1" x14ac:dyDescent="1.4">
      <c r="A7" s="147" t="s">
        <v>95</v>
      </c>
      <c r="B7" s="152" t="s">
        <v>90</v>
      </c>
      <c r="C7" s="152" t="s">
        <v>91</v>
      </c>
      <c r="D7" s="149" t="s">
        <v>0</v>
      </c>
      <c r="E7" s="150" t="s">
        <v>1</v>
      </c>
      <c r="F7" s="151" t="s">
        <v>2</v>
      </c>
      <c r="G7" s="151" t="s">
        <v>3</v>
      </c>
      <c r="H7" s="148" t="s">
        <v>4</v>
      </c>
      <c r="I7" s="148" t="s">
        <v>5</v>
      </c>
      <c r="J7" s="152" t="s">
        <v>6</v>
      </c>
      <c r="K7" s="152" t="s">
        <v>7</v>
      </c>
      <c r="L7" s="152" t="s">
        <v>8</v>
      </c>
      <c r="M7" s="153" t="s">
        <v>9</v>
      </c>
      <c r="N7" s="154" t="s">
        <v>10</v>
      </c>
      <c r="O7" s="8" t="s">
        <v>11</v>
      </c>
      <c r="P7" s="88" t="s">
        <v>12</v>
      </c>
    </row>
    <row r="8" spans="1:16" x14ac:dyDescent="1.35">
      <c r="A8" s="94" t="s">
        <v>13</v>
      </c>
      <c r="B8" s="9"/>
      <c r="C8" s="9"/>
      <c r="D8" s="10"/>
      <c r="E8" s="129"/>
      <c r="F8" s="11"/>
      <c r="G8" s="11"/>
      <c r="H8" s="11"/>
      <c r="I8" s="12"/>
      <c r="J8" s="11"/>
      <c r="K8" s="124"/>
      <c r="L8" s="12"/>
      <c r="M8" s="10"/>
      <c r="N8" s="13"/>
      <c r="O8" s="12"/>
      <c r="P8" s="90"/>
    </row>
    <row r="9" spans="1:16" ht="189" customHeight="1" x14ac:dyDescent="1.35">
      <c r="A9" s="95" t="s">
        <v>99</v>
      </c>
      <c r="B9" s="89">
        <f>SUM(B10:B14)</f>
        <v>255008294</v>
      </c>
      <c r="C9" s="89">
        <f>SUM(C10:C14)</f>
        <v>0</v>
      </c>
      <c r="D9" s="26">
        <f>SUM(D10:D14)</f>
        <v>192397703.90000001</v>
      </c>
      <c r="E9" s="130">
        <f t="shared" ref="E9:P9" si="0">SUM(E10:E14)</f>
        <v>18640737.75</v>
      </c>
      <c r="F9" s="26">
        <f t="shared" si="0"/>
        <v>18605080.780000001</v>
      </c>
      <c r="G9" s="27">
        <f t="shared" si="0"/>
        <v>18540043.260000005</v>
      </c>
      <c r="H9" s="27">
        <f t="shared" si="0"/>
        <v>19261511.780000001</v>
      </c>
      <c r="I9" s="27">
        <f t="shared" si="0"/>
        <v>25227561.529999983</v>
      </c>
      <c r="J9" s="112">
        <f t="shared" si="0"/>
        <v>19555730.530000009</v>
      </c>
      <c r="K9" s="112">
        <f t="shared" si="0"/>
        <v>19191711.989999995</v>
      </c>
      <c r="L9" s="27">
        <f t="shared" si="0"/>
        <v>18804490.959999997</v>
      </c>
      <c r="M9" s="27">
        <f t="shared" si="0"/>
        <v>0</v>
      </c>
      <c r="N9" s="27">
        <f t="shared" si="0"/>
        <v>34570835.320000008</v>
      </c>
      <c r="O9" s="27">
        <f t="shared" si="0"/>
        <v>0</v>
      </c>
      <c r="P9" s="27">
        <f t="shared" si="0"/>
        <v>0</v>
      </c>
    </row>
    <row r="10" spans="1:16" x14ac:dyDescent="1.35">
      <c r="A10" s="96" t="s">
        <v>14</v>
      </c>
      <c r="B10" s="29">
        <v>214290480.03999999</v>
      </c>
      <c r="C10" s="29">
        <v>10290480.039999999</v>
      </c>
      <c r="D10" s="30">
        <f>E10+F10+G10+H10+I10+J10+K10+L10+M10+N10+O10+P10</f>
        <v>158588942.95000002</v>
      </c>
      <c r="E10" s="36">
        <v>15897001.699999999</v>
      </c>
      <c r="F10" s="32">
        <f>31762503.4-E10</f>
        <v>15865501.699999999</v>
      </c>
      <c r="G10" s="32">
        <f>47571477.6-E10-F10</f>
        <v>15808974.200000003</v>
      </c>
      <c r="H10" s="31">
        <f>64039635.65-E10-F10-G10</f>
        <v>16468158.050000001</v>
      </c>
      <c r="I10" s="33">
        <f>80037929.85-E10-F10-G10-H10</f>
        <v>15998294.199999984</v>
      </c>
      <c r="J10" s="113">
        <f>96738260.2-E10-F10-G10-H10-I10</f>
        <v>16700330.350000009</v>
      </c>
      <c r="K10" s="34">
        <f>113123278.35-E10-F10-G10-H10-I10-J10</f>
        <v>16385018.149999995</v>
      </c>
      <c r="L10" s="28">
        <f>129151916.55-E10-F10-G10-H10-I10-J10-K10</f>
        <v>16028638.199999999</v>
      </c>
      <c r="M10" s="30">
        <f>129151916.55-E10-F10-G10-H10-I10-J10-K10-L10</f>
        <v>0</v>
      </c>
      <c r="N10" s="35">
        <f>158588942.95-E10-F10-G10-H10-I10-J10-K10-L10-M10</f>
        <v>29437026.40000001</v>
      </c>
      <c r="O10" s="28"/>
      <c r="P10" s="32"/>
    </row>
    <row r="11" spans="1:16" x14ac:dyDescent="1.35">
      <c r="A11" s="96" t="s">
        <v>15</v>
      </c>
      <c r="B11" s="29">
        <v>10399463.960000001</v>
      </c>
      <c r="C11" s="29">
        <v>-9428830.0399999991</v>
      </c>
      <c r="D11" s="30">
        <f t="shared" ref="D11:D13" si="1">E11+F11+G11+H11+I11+J11+K11+L11+M11+N11+O11+P11</f>
        <v>9705401.5999999996</v>
      </c>
      <c r="E11" s="36">
        <v>319024.5</v>
      </c>
      <c r="F11" s="32">
        <f>638049-E11</f>
        <v>319024.5</v>
      </c>
      <c r="G11" s="32">
        <f>957073.5-E11-F11</f>
        <v>319024.5</v>
      </c>
      <c r="H11" s="31">
        <f>1287098-E11-F11-G11</f>
        <v>330024.5</v>
      </c>
      <c r="I11" s="33">
        <f>8075279.1-E11-F11-G11-H11</f>
        <v>6788181.0999999996</v>
      </c>
      <c r="J11" s="113">
        <f>8405303.6-E11-F11-G11-H11-I11</f>
        <v>330024.5</v>
      </c>
      <c r="K11" s="34">
        <f>8735328.1-E11-F11-G11-H11-I11-J11</f>
        <v>330024.5</v>
      </c>
      <c r="L11" s="33">
        <f>9065352.6-E11-F11-G11-H11-I11-J11-K11</f>
        <v>330024.5</v>
      </c>
      <c r="M11" s="33">
        <f>9065352.6-E11-F11-G11-H11-I11-J11-K11-L11</f>
        <v>0</v>
      </c>
      <c r="N11" s="36">
        <f>9705401.6-E11-F11-G11-H11-I11-J11-K11-L11-M11</f>
        <v>640049</v>
      </c>
      <c r="O11" s="37"/>
      <c r="P11" s="44"/>
    </row>
    <row r="12" spans="1:16" ht="167.25" customHeight="1" x14ac:dyDescent="1.35">
      <c r="A12" s="96" t="s">
        <v>16</v>
      </c>
      <c r="B12" s="29">
        <v>180000</v>
      </c>
      <c r="C12" s="29"/>
      <c r="D12" s="30">
        <f t="shared" si="1"/>
        <v>0</v>
      </c>
      <c r="E12" s="131">
        <v>0</v>
      </c>
      <c r="F12" s="38">
        <v>0</v>
      </c>
      <c r="G12" s="32">
        <f>0-E12-F12</f>
        <v>0</v>
      </c>
      <c r="H12" s="31">
        <v>0</v>
      </c>
      <c r="I12" s="31">
        <v>0</v>
      </c>
      <c r="J12" s="113">
        <v>0</v>
      </c>
      <c r="K12" s="125">
        <v>0</v>
      </c>
      <c r="L12" s="37">
        <v>0</v>
      </c>
      <c r="M12" s="33">
        <v>0</v>
      </c>
      <c r="N12" s="36">
        <v>0</v>
      </c>
      <c r="O12" s="37"/>
      <c r="P12" s="44"/>
    </row>
    <row r="13" spans="1:16" ht="135.75" customHeight="1" x14ac:dyDescent="1.35">
      <c r="A13" s="96" t="s">
        <v>17</v>
      </c>
      <c r="B13" s="29">
        <v>0</v>
      </c>
      <c r="C13" s="29">
        <v>0</v>
      </c>
      <c r="D13" s="30">
        <f t="shared" si="1"/>
        <v>0</v>
      </c>
      <c r="E13" s="131">
        <v>0</v>
      </c>
      <c r="F13" s="38"/>
      <c r="G13" s="32">
        <v>0</v>
      </c>
      <c r="H13" s="39"/>
      <c r="I13" s="40">
        <v>0</v>
      </c>
      <c r="J13" s="113">
        <v>0</v>
      </c>
      <c r="K13" s="34">
        <v>0</v>
      </c>
      <c r="L13" s="40">
        <v>0</v>
      </c>
      <c r="M13" s="33">
        <v>0</v>
      </c>
      <c r="N13" s="36">
        <v>0</v>
      </c>
      <c r="O13" s="41"/>
    </row>
    <row r="14" spans="1:16" x14ac:dyDescent="1.35">
      <c r="A14" s="96" t="s">
        <v>18</v>
      </c>
      <c r="B14" s="29">
        <v>30138350</v>
      </c>
      <c r="C14" s="29">
        <v>-861650</v>
      </c>
      <c r="D14" s="30">
        <f>E14+F14+G14+H14+I14+J14+K14+L14+M14+N14+O14+P14</f>
        <v>24103359.349999998</v>
      </c>
      <c r="E14" s="36">
        <v>2424711.5499999998</v>
      </c>
      <c r="F14" s="32">
        <f>4845266.13-E14</f>
        <v>2420554.58</v>
      </c>
      <c r="G14" s="32">
        <f>7257310.69-E14-F14</f>
        <v>2412044.5600000005</v>
      </c>
      <c r="H14" s="31">
        <f>9720639.92-E14-F14-G14</f>
        <v>2463329.2299999995</v>
      </c>
      <c r="I14" s="33">
        <f>12161726.15-E14-F14-G14-H14</f>
        <v>2441086.2300000014</v>
      </c>
      <c r="J14" s="113">
        <f>14687101.83-E14-F14-G14-H14-I14</f>
        <v>2525375.6799999997</v>
      </c>
      <c r="K14" s="34">
        <f>17163771.17-E14-F14-G14-H14-I14-J14</f>
        <v>2476669.34</v>
      </c>
      <c r="L14" s="37">
        <f>19609599.43-E14-F14-G14-H14-I14-J14-K14</f>
        <v>2445828.259999997</v>
      </c>
      <c r="M14" s="33">
        <f>19609599.43-E14-F14-G14-H14-I14-J14-K14-L14</f>
        <v>0</v>
      </c>
      <c r="N14" s="36">
        <f>24103359.35-E14-F14-G14-H14-I14-J14-K14-L14-M14</f>
        <v>4493759.919999999</v>
      </c>
      <c r="O14" s="37"/>
      <c r="P14" s="44"/>
    </row>
    <row r="15" spans="1:16" ht="252.75" customHeight="1" x14ac:dyDescent="1.35">
      <c r="A15" s="95" t="s">
        <v>19</v>
      </c>
      <c r="B15" s="25">
        <f t="shared" ref="B15:K15" si="2">SUM(B16:B24)</f>
        <v>62526331.529999994</v>
      </c>
      <c r="C15" s="25">
        <f>SUM(C16:C24)</f>
        <v>6601331.5299999993</v>
      </c>
      <c r="D15" s="26">
        <f>SUM(D16:D24)</f>
        <v>35088412.280000001</v>
      </c>
      <c r="E15" s="130">
        <f t="shared" si="2"/>
        <v>940657.1</v>
      </c>
      <c r="F15" s="26">
        <f t="shared" si="2"/>
        <v>1381358.98</v>
      </c>
      <c r="G15" s="27">
        <f t="shared" si="2"/>
        <v>1913076.9700000002</v>
      </c>
      <c r="H15" s="27">
        <f>1656075.15-C15</f>
        <v>-4945256.379999999</v>
      </c>
      <c r="I15" s="27">
        <f t="shared" si="2"/>
        <v>5891029.4799999995</v>
      </c>
      <c r="J15" s="112">
        <f t="shared" si="2"/>
        <v>7477185.79</v>
      </c>
      <c r="K15" s="112">
        <f t="shared" si="2"/>
        <v>3342709.38</v>
      </c>
      <c r="L15" s="42"/>
      <c r="M15" s="43"/>
      <c r="N15" s="36"/>
      <c r="O15" s="37"/>
    </row>
    <row r="16" spans="1:16" x14ac:dyDescent="1.35">
      <c r="A16" s="96" t="s">
        <v>20</v>
      </c>
      <c r="B16" s="29">
        <v>11250000</v>
      </c>
      <c r="C16" s="29">
        <v>0</v>
      </c>
      <c r="D16" s="30">
        <f t="shared" ref="D16:D34" si="3">E16+F16+G16+H16+I16+J16+K16+L16+M16+N16+O16+P16</f>
        <v>9354580.7899999972</v>
      </c>
      <c r="E16" s="132">
        <v>936324.5</v>
      </c>
      <c r="F16" s="32">
        <f>1953531.45-E16</f>
        <v>1017206.95</v>
      </c>
      <c r="G16" s="32">
        <f>2879398.19-E16-F16</f>
        <v>925866.74</v>
      </c>
      <c r="H16" s="31">
        <f>3797565.7-E16-F16-G16</f>
        <v>918167.51000000024</v>
      </c>
      <c r="I16" s="33">
        <f>4706014.32-E16-F16-G16-H16</f>
        <v>908448.61999999988</v>
      </c>
      <c r="J16" s="113">
        <f>5586053.69-E16-F16-G16-H16-I16</f>
        <v>880039.36999999988</v>
      </c>
      <c r="K16" s="34">
        <f>6486344.83-E16-F16-G16-H16-I16-J16</f>
        <v>900291.13999999966</v>
      </c>
      <c r="L16" s="37">
        <f>7468516.54-E16-F16-G16-H16-I16-J16-K16</f>
        <v>982171.7100000002</v>
      </c>
      <c r="M16" s="33">
        <f>8397205.92-E16-F16-G16-H16-I16-J16-K16-L16</f>
        <v>928689.37999999872</v>
      </c>
      <c r="N16" s="36">
        <f>9354580.79-E16-F16-G16-H16-I16-J16-K16-L16-M16</f>
        <v>957374.86999999918</v>
      </c>
      <c r="O16" s="37"/>
      <c r="P16" s="44"/>
    </row>
    <row r="17" spans="1:16" ht="172.5" customHeight="1" x14ac:dyDescent="1.35">
      <c r="A17" s="96" t="s">
        <v>21</v>
      </c>
      <c r="B17" s="29">
        <v>3600000</v>
      </c>
      <c r="C17" s="29">
        <v>0</v>
      </c>
      <c r="D17" s="30">
        <f>E17+F17+G17+H17+I17+J17+K17+L17+M17+N17+O17+P17</f>
        <v>161300</v>
      </c>
      <c r="E17" s="131">
        <v>0</v>
      </c>
      <c r="F17" s="38">
        <v>0</v>
      </c>
      <c r="G17" s="32">
        <v>0</v>
      </c>
      <c r="H17" s="44">
        <v>0</v>
      </c>
      <c r="I17" s="37">
        <v>0</v>
      </c>
      <c r="J17" s="114">
        <f>41300-E17-F17-G17-H17-I17</f>
        <v>41300</v>
      </c>
      <c r="K17" s="47">
        <f>0-E17-F17-G17-H17-I17-J17</f>
        <v>-41300</v>
      </c>
      <c r="L17" s="41">
        <f>161300-E17-F17-G17-H17-I17-J17-K17</f>
        <v>161300</v>
      </c>
      <c r="M17" s="33">
        <f>161300-E17-F17-G17-H17-I17-J17-K17-L17</f>
        <v>0</v>
      </c>
      <c r="N17" s="36">
        <f>161300-E17-F17-G17-H17-I17-J17-K17-L17-M17</f>
        <v>0</v>
      </c>
      <c r="O17" s="28"/>
      <c r="P17" s="39"/>
    </row>
    <row r="18" spans="1:16" x14ac:dyDescent="1.35">
      <c r="A18" s="96" t="s">
        <v>22</v>
      </c>
      <c r="B18" s="29">
        <v>9062500</v>
      </c>
      <c r="C18" s="29">
        <v>-3221500</v>
      </c>
      <c r="D18" s="30">
        <f t="shared" si="3"/>
        <v>3120302</v>
      </c>
      <c r="E18" s="131">
        <v>0</v>
      </c>
      <c r="F18" s="38">
        <v>0</v>
      </c>
      <c r="G18" s="32">
        <f>727086.86-E18-F18</f>
        <v>727086.86</v>
      </c>
      <c r="H18" s="31">
        <f>1080147.5-E18-F18-G18</f>
        <v>353060.64</v>
      </c>
      <c r="I18" s="33">
        <f>1466732.5-E18-F18-G18-H18</f>
        <v>386585</v>
      </c>
      <c r="J18" s="113">
        <f>2080217.5-E18-F18-G18-H18-I18</f>
        <v>613485.00000000012</v>
      </c>
      <c r="K18" s="46">
        <f>2608202-E18-F18-G18-H18-I18-J18</f>
        <v>527984.49999999988</v>
      </c>
      <c r="L18" s="37">
        <f>2820302-E18-F18-G18-H18-I18-J18-K18</f>
        <v>212100</v>
      </c>
      <c r="M18" s="33">
        <f>2774402-E18-F18-G18-H18-I18-J18-K18-L18</f>
        <v>-45900</v>
      </c>
      <c r="N18" s="36">
        <f>3120302-E18-F18-G18-H18-I18-J18-K18-L18-M18</f>
        <v>345900</v>
      </c>
      <c r="O18" s="37"/>
      <c r="P18" s="44"/>
    </row>
    <row r="19" spans="1:16" x14ac:dyDescent="1.35">
      <c r="A19" s="96" t="s">
        <v>23</v>
      </c>
      <c r="B19" s="29">
        <v>1527747.38</v>
      </c>
      <c r="C19" s="29">
        <v>677747.38</v>
      </c>
      <c r="D19" s="30">
        <f t="shared" si="3"/>
        <v>1012683.72</v>
      </c>
      <c r="E19" s="131">
        <v>0</v>
      </c>
      <c r="F19" s="38">
        <v>0</v>
      </c>
      <c r="G19" s="32">
        <f>234907-E19-F19</f>
        <v>234907</v>
      </c>
      <c r="H19" s="31">
        <f>287307-E19-F19-G19</f>
        <v>52400</v>
      </c>
      <c r="I19" s="33">
        <f>585207-E19-F19-G19-H19</f>
        <v>297900</v>
      </c>
      <c r="J19" s="113">
        <f>618607-E19-F19-G19-H19-I19</f>
        <v>33400</v>
      </c>
      <c r="K19" s="34">
        <f>735207-E19-F19-G19-H19-I19-J19</f>
        <v>116600</v>
      </c>
      <c r="L19" s="37">
        <f>756407-E19-F19-G19-H19-I19-J19-K19</f>
        <v>21200</v>
      </c>
      <c r="M19" s="33">
        <f>756407-E19-F19-G19-H19-I19-J19-K19-L19</f>
        <v>0</v>
      </c>
      <c r="N19" s="36">
        <f>1012683.72-E19-F19-G19-H19-I19-J19-K19-L19-M19</f>
        <v>256276.71999999997</v>
      </c>
      <c r="O19" s="37"/>
      <c r="P19" s="39"/>
    </row>
    <row r="20" spans="1:16" x14ac:dyDescent="1.35">
      <c r="A20" s="96" t="s">
        <v>24</v>
      </c>
      <c r="B20" s="29">
        <v>4165000</v>
      </c>
      <c r="C20" s="29">
        <v>0</v>
      </c>
      <c r="D20" s="30">
        <f t="shared" si="3"/>
        <v>3811909.9599999995</v>
      </c>
      <c r="E20" s="132">
        <v>0</v>
      </c>
      <c r="F20" s="38">
        <v>0</v>
      </c>
      <c r="G20" s="32">
        <v>0</v>
      </c>
      <c r="H20" s="31">
        <v>0</v>
      </c>
      <c r="I20" s="33">
        <f>437794.53-E20-F20-G20-H20</f>
        <v>437794.53</v>
      </c>
      <c r="J20" s="113">
        <f>654862.28-E20-F20-G20-H20-I20</f>
        <v>217067.75</v>
      </c>
      <c r="K20" s="47">
        <f>1650716.15-E20-F20-G20-H20-I20-J20</f>
        <v>995853.86999999988</v>
      </c>
      <c r="L20" s="37">
        <f>2093533.53-E20-F20-G20-H20-I20-J20-K20</f>
        <v>442817.38000000012</v>
      </c>
      <c r="M20" s="33">
        <f>2088858.44-E20-F20-G20-H20-I20-J20-K20-L20</f>
        <v>-4675.0900000000838</v>
      </c>
      <c r="N20" s="36">
        <f>3811909.96-E20-F20-G20-H20-I20-J20-K20-L20-M20</f>
        <v>1723051.5199999996</v>
      </c>
      <c r="O20" s="37"/>
      <c r="P20" s="44"/>
    </row>
    <row r="21" spans="1:16" x14ac:dyDescent="1.35">
      <c r="A21" s="96" t="s">
        <v>25</v>
      </c>
      <c r="B21" s="29">
        <v>2510000</v>
      </c>
      <c r="C21" s="29">
        <v>596880</v>
      </c>
      <c r="D21" s="30">
        <f t="shared" si="3"/>
        <v>2887743.09</v>
      </c>
      <c r="E21" s="132">
        <v>4332.6000000000004</v>
      </c>
      <c r="F21" s="32">
        <f>368484.63-E21</f>
        <v>364152.03</v>
      </c>
      <c r="G21" s="32">
        <f>393701-E21-F21</f>
        <v>25216.369999999995</v>
      </c>
      <c r="H21" s="31">
        <f>923541.12-E21-F21-G21</f>
        <v>529840.12</v>
      </c>
      <c r="I21" s="33">
        <f>1064375.99-E21-F21-G21-H21</f>
        <v>140834.86999999988</v>
      </c>
      <c r="J21" s="113">
        <f>1205210.86-E21-F21-G21-H21-I21</f>
        <v>140834.87000000011</v>
      </c>
      <c r="K21" s="34">
        <f>1346045.73-E21-F21-G21-H21-I21-J21</f>
        <v>140834.86999999988</v>
      </c>
      <c r="L21" s="37">
        <f>1632164.77-E21-F21-G21-H21-I21-J21-K21</f>
        <v>286119.04000000015</v>
      </c>
      <c r="M21" s="33">
        <f>1632164.77-E21-F21-G21-H21-I21-J21-K21-L21</f>
        <v>0</v>
      </c>
      <c r="N21" s="36">
        <f>2887743.09-E21-F21-G21-H21-I21-J21-K21-L21-M21</f>
        <v>1255578.3199999998</v>
      </c>
      <c r="O21" s="37"/>
      <c r="P21" s="44"/>
    </row>
    <row r="22" spans="1:16" ht="141" x14ac:dyDescent="1.35">
      <c r="A22" s="96" t="s">
        <v>26</v>
      </c>
      <c r="B22" s="29">
        <v>5123900</v>
      </c>
      <c r="C22" s="29">
        <v>5885850</v>
      </c>
      <c r="D22" s="30">
        <f t="shared" si="3"/>
        <v>2153914.84</v>
      </c>
      <c r="E22" s="131">
        <v>0</v>
      </c>
      <c r="F22" s="38">
        <v>0</v>
      </c>
      <c r="G22" s="32">
        <v>0</v>
      </c>
      <c r="H22" s="31">
        <f>233999.99-E22-F22-G22</f>
        <v>233999.99</v>
      </c>
      <c r="I22" s="33">
        <f>233999.99-E22-F22-G22-H22</f>
        <v>0</v>
      </c>
      <c r="J22" s="113">
        <f>468899.99-E22-F22-G22-H22-I22</f>
        <v>234900</v>
      </c>
      <c r="K22" s="34">
        <f>937436.99-E22:E23-F22-G22-H22-I22-J22</f>
        <v>468537</v>
      </c>
      <c r="L22" s="37">
        <f>1170398.49-E22-F22-G22-H22-I22-J22-K22</f>
        <v>232961.5</v>
      </c>
      <c r="M22" s="33">
        <f>1170398.49-E22-F22-G22-H22-I22-J22-K22-L22</f>
        <v>0</v>
      </c>
      <c r="N22" s="36">
        <f>2153914.84-E22-F22-G22-H22-I22-J22-K22-L22-M22</f>
        <v>983516.34999999986</v>
      </c>
      <c r="O22" s="37"/>
      <c r="P22" s="44"/>
    </row>
    <row r="23" spans="1:16" ht="141" x14ac:dyDescent="1.35">
      <c r="A23" s="96" t="s">
        <v>27</v>
      </c>
      <c r="B23" s="29">
        <v>15513500</v>
      </c>
      <c r="C23" s="29">
        <v>-111330</v>
      </c>
      <c r="D23" s="30">
        <f t="shared" si="3"/>
        <v>4451501.0999999996</v>
      </c>
      <c r="E23" s="131">
        <v>0</v>
      </c>
      <c r="F23" s="38">
        <v>0</v>
      </c>
      <c r="G23" s="32">
        <v>0</v>
      </c>
      <c r="H23" s="31">
        <f>1789921-E23-F23-G23</f>
        <v>1789921</v>
      </c>
      <c r="I23" s="33">
        <f>1789921-F23-G23-H23</f>
        <v>0</v>
      </c>
      <c r="J23" s="113">
        <f>3626950.99-E23-F23-G23-H23-I23</f>
        <v>1837029.9900000002</v>
      </c>
      <c r="K23" s="34">
        <f>3626950.99-E23-F23-G23-H23-I23-J23</f>
        <v>0</v>
      </c>
      <c r="L23" s="37">
        <f>4117227.7-E23-F23-G23-H23-I23-J23-K23</f>
        <v>490276.70999999996</v>
      </c>
      <c r="M23" s="33">
        <f>4117227.7-E23-F23-G23-H23-I23-J23-K23-L23</f>
        <v>0</v>
      </c>
      <c r="N23" s="36">
        <f>4451501.1-E23-F23-G23-H23-I23-J23-K23-L23-M23</f>
        <v>334273.39999999944</v>
      </c>
      <c r="O23" s="37"/>
      <c r="P23" s="44"/>
    </row>
    <row r="24" spans="1:16" x14ac:dyDescent="1.35">
      <c r="A24" s="96" t="s">
        <v>89</v>
      </c>
      <c r="B24" s="29">
        <v>9773684.1500000004</v>
      </c>
      <c r="C24" s="29">
        <v>2773684.15</v>
      </c>
      <c r="D24" s="30">
        <f t="shared" si="3"/>
        <v>8134476.7800000003</v>
      </c>
      <c r="E24" s="131">
        <v>0</v>
      </c>
      <c r="F24" s="38">
        <v>0</v>
      </c>
      <c r="G24" s="32">
        <v>0</v>
      </c>
      <c r="H24" s="31">
        <v>0</v>
      </c>
      <c r="I24" s="37">
        <f>3719466.46-E24-F24-G24-H24</f>
        <v>3719466.46</v>
      </c>
      <c r="J24" s="114">
        <f>7198595.27-E24-F24-G24-H24-I24</f>
        <v>3479128.8099999996</v>
      </c>
      <c r="K24" s="45">
        <f>7432503.27-E24-F24-G24-H24-I24-J24</f>
        <v>233908</v>
      </c>
      <c r="L24" s="37">
        <f>7664503.27-E24-F24-G24-H24-I24-J24-K24</f>
        <v>232000</v>
      </c>
      <c r="M24" s="33">
        <f>7664503.27-E24-F24-G24-H24-I24-J24-K24-L24</f>
        <v>0</v>
      </c>
      <c r="N24" s="36">
        <f>8134476.78-E24-F24-G24-H24-I24-J24-K24-L24-M24</f>
        <v>469973.51000000071</v>
      </c>
      <c r="O24" s="37"/>
      <c r="P24" s="44"/>
    </row>
    <row r="25" spans="1:16" ht="215.25" customHeight="1" x14ac:dyDescent="1.35">
      <c r="A25" s="95" t="s">
        <v>28</v>
      </c>
      <c r="B25" s="25">
        <f t="shared" ref="B25:K25" si="4">SUM(B26:B34)</f>
        <v>17476980.100000001</v>
      </c>
      <c r="C25" s="25">
        <f t="shared" si="4"/>
        <v>980488.1</v>
      </c>
      <c r="D25" s="26">
        <f>SUM(D26:D34)</f>
        <v>11782392.970000001</v>
      </c>
      <c r="E25" s="130">
        <f t="shared" si="4"/>
        <v>403074.74</v>
      </c>
      <c r="F25" s="26">
        <f t="shared" si="4"/>
        <v>377962.01</v>
      </c>
      <c r="G25" s="27">
        <f>SUM(G26:G34)</f>
        <v>1806746.0499999996</v>
      </c>
      <c r="H25" s="27">
        <f t="shared" si="4"/>
        <v>398192.64000000048</v>
      </c>
      <c r="I25" s="27">
        <f t="shared" si="4"/>
        <v>2132786.5</v>
      </c>
      <c r="J25" s="112">
        <f t="shared" si="4"/>
        <v>1335375.3999999997</v>
      </c>
      <c r="K25" s="112">
        <f t="shared" si="4"/>
        <v>1971038.7500000002</v>
      </c>
      <c r="L25" s="42"/>
      <c r="M25" s="43"/>
      <c r="N25" s="36"/>
      <c r="O25" s="40"/>
    </row>
    <row r="26" spans="1:16" ht="156.75" customHeight="1" x14ac:dyDescent="1.35">
      <c r="A26" s="96" t="s">
        <v>29</v>
      </c>
      <c r="B26" s="29">
        <v>800000</v>
      </c>
      <c r="C26" s="29">
        <v>0</v>
      </c>
      <c r="D26" s="30">
        <f t="shared" si="3"/>
        <v>594980.05000000005</v>
      </c>
      <c r="E26" s="131">
        <v>0</v>
      </c>
      <c r="F26" s="32">
        <v>0</v>
      </c>
      <c r="G26" s="32">
        <f>60660-E26-F26</f>
        <v>60660</v>
      </c>
      <c r="H26" s="31">
        <f>60660-E26-F26-G26</f>
        <v>0</v>
      </c>
      <c r="I26" s="33">
        <f>267260.05-E26-F26-G26-H26</f>
        <v>206600.05</v>
      </c>
      <c r="J26" s="113">
        <f>267260.05-E26-F26-G26-H26-I26</f>
        <v>0</v>
      </c>
      <c r="K26" s="34">
        <f>411560.05-E26-F26-G26-H26-I26-J26</f>
        <v>144300</v>
      </c>
      <c r="L26" s="37">
        <f>411560.05-E26-F26-G26-H26-I26-J26-K26</f>
        <v>0</v>
      </c>
      <c r="M26" s="33">
        <f>456680.05-E26-F26-G26-H26-I26-J26-K26-L26</f>
        <v>45120</v>
      </c>
      <c r="N26" s="36">
        <f>594980.05-E26-F26-G26-H26-I26-J26-K26-L26-M26</f>
        <v>138300.00000000006</v>
      </c>
      <c r="O26" s="37"/>
      <c r="P26" s="44"/>
    </row>
    <row r="27" spans="1:16" x14ac:dyDescent="1.35">
      <c r="A27" s="96" t="s">
        <v>30</v>
      </c>
      <c r="B27" s="29">
        <v>200000</v>
      </c>
      <c r="C27" s="29">
        <v>0</v>
      </c>
      <c r="D27" s="30">
        <f t="shared" si="3"/>
        <v>9499</v>
      </c>
      <c r="E27" s="131">
        <v>0</v>
      </c>
      <c r="F27" s="38">
        <v>0</v>
      </c>
      <c r="G27" s="32">
        <v>0</v>
      </c>
      <c r="H27" s="44">
        <v>0</v>
      </c>
      <c r="I27" s="37">
        <v>0</v>
      </c>
      <c r="J27" s="114">
        <v>0</v>
      </c>
      <c r="K27" s="45">
        <v>0</v>
      </c>
      <c r="L27" s="41">
        <f>0-E27-F27-G27-H27-I27-J27-K27</f>
        <v>0</v>
      </c>
      <c r="M27" s="33">
        <v>0</v>
      </c>
      <c r="N27" s="36">
        <f>9499-E27-F27-G27-H27-I27-J27-K27-L27-M27</f>
        <v>9499</v>
      </c>
      <c r="O27" s="41"/>
      <c r="P27" s="39"/>
    </row>
    <row r="28" spans="1:16" x14ac:dyDescent="1.35">
      <c r="A28" s="96" t="s">
        <v>31</v>
      </c>
      <c r="B28" s="29">
        <v>3286492</v>
      </c>
      <c r="C28" s="29">
        <v>0</v>
      </c>
      <c r="D28" s="30">
        <f t="shared" si="3"/>
        <v>869909.3</v>
      </c>
      <c r="E28" s="131">
        <v>0</v>
      </c>
      <c r="F28" s="38">
        <v>0</v>
      </c>
      <c r="G28" s="32">
        <v>0</v>
      </c>
      <c r="H28" s="31">
        <v>0</v>
      </c>
      <c r="I28" s="49">
        <f>647650.4-E28-G28-H28</f>
        <v>647650.4</v>
      </c>
      <c r="J28" s="113">
        <f>648759.6-E28-F28-G28-H28-I28</f>
        <v>1109.1999999999534</v>
      </c>
      <c r="K28" s="34">
        <f>648759.6-E28-F28-G28-H28-I28-J28</f>
        <v>0</v>
      </c>
      <c r="L28" s="37">
        <f>648759.6-E28-F28-G28-H28-I28-J28-K28</f>
        <v>0</v>
      </c>
      <c r="M28" s="33">
        <f>648759.6-E28-F28-G28-H28-I28-J28-K28-L28</f>
        <v>0</v>
      </c>
      <c r="N28" s="36">
        <f>869909.3-E28-F28-G28-H28-I28-J28-K28-L28-M28</f>
        <v>221149.70000000007</v>
      </c>
      <c r="O28" s="37"/>
      <c r="P28" s="44"/>
    </row>
    <row r="29" spans="1:16" x14ac:dyDescent="1.35">
      <c r="A29" s="96" t="s">
        <v>32</v>
      </c>
      <c r="B29" s="29">
        <v>0</v>
      </c>
      <c r="C29" s="29">
        <v>0</v>
      </c>
      <c r="D29" s="30">
        <f t="shared" si="3"/>
        <v>0</v>
      </c>
      <c r="E29" s="131">
        <v>0</v>
      </c>
      <c r="F29" s="38">
        <v>0</v>
      </c>
      <c r="G29" s="32">
        <v>0</v>
      </c>
      <c r="H29" s="50">
        <v>0</v>
      </c>
      <c r="I29" s="40">
        <v>0</v>
      </c>
      <c r="J29" s="115">
        <v>0</v>
      </c>
      <c r="K29" s="52">
        <v>0</v>
      </c>
      <c r="L29" s="41">
        <f>0</f>
        <v>0</v>
      </c>
      <c r="M29" s="33">
        <v>0</v>
      </c>
      <c r="N29" s="36">
        <v>0</v>
      </c>
      <c r="O29" s="37"/>
    </row>
    <row r="30" spans="1:16" x14ac:dyDescent="1.35">
      <c r="A30" s="96" t="s">
        <v>33</v>
      </c>
      <c r="B30" s="29">
        <v>465000</v>
      </c>
      <c r="C30" s="29">
        <v>65000</v>
      </c>
      <c r="D30" s="30">
        <f t="shared" si="3"/>
        <v>66451.399999999994</v>
      </c>
      <c r="E30" s="131">
        <v>0</v>
      </c>
      <c r="F30" s="38">
        <v>0</v>
      </c>
      <c r="G30" s="32">
        <v>0</v>
      </c>
      <c r="H30" s="44">
        <v>0</v>
      </c>
      <c r="I30" s="37">
        <v>0</v>
      </c>
      <c r="J30" s="114"/>
      <c r="K30" s="45">
        <f>64999.97-E30-F30-G30-H30-I30-J30</f>
        <v>64999.97</v>
      </c>
      <c r="L30" s="37">
        <f>64999.97-E30-F30-G30-H30-I30-J30-K30</f>
        <v>0</v>
      </c>
      <c r="M30" s="33">
        <f>64999.97-E30-F30-G30-H30-I30-J30-K30-L30</f>
        <v>0</v>
      </c>
      <c r="N30" s="36">
        <f>66451.4-E30-F30-G30-H30-I30-J30-K30-L30-M30</f>
        <v>1451.429999999993</v>
      </c>
      <c r="O30" s="37"/>
      <c r="P30" s="44"/>
    </row>
    <row r="31" spans="1:16" ht="141" x14ac:dyDescent="1.35">
      <c r="A31" s="96" t="s">
        <v>34</v>
      </c>
      <c r="B31" s="29">
        <v>414191</v>
      </c>
      <c r="C31" s="29">
        <v>304191</v>
      </c>
      <c r="D31" s="30">
        <f t="shared" si="3"/>
        <v>0</v>
      </c>
      <c r="E31" s="131">
        <v>0</v>
      </c>
      <c r="F31" s="38">
        <v>0</v>
      </c>
      <c r="G31" s="32">
        <v>0</v>
      </c>
      <c r="H31" s="39">
        <v>0</v>
      </c>
      <c r="I31" s="53">
        <v>0</v>
      </c>
      <c r="J31" s="116">
        <v>0</v>
      </c>
      <c r="K31" s="52">
        <v>0</v>
      </c>
      <c r="L31" s="41">
        <f>0</f>
        <v>0</v>
      </c>
      <c r="M31" s="33">
        <v>0</v>
      </c>
      <c r="N31" s="36">
        <v>0</v>
      </c>
      <c r="O31" s="37"/>
      <c r="P31" s="44"/>
    </row>
    <row r="32" spans="1:16" ht="141" x14ac:dyDescent="1.35">
      <c r="A32" s="96" t="s">
        <v>35</v>
      </c>
      <c r="B32" s="29">
        <v>9654000</v>
      </c>
      <c r="C32" s="29">
        <v>304000</v>
      </c>
      <c r="D32" s="30">
        <f t="shared" si="3"/>
        <v>8043599.3899999997</v>
      </c>
      <c r="E32" s="133">
        <v>403074.74</v>
      </c>
      <c r="F32" s="38">
        <f>781036.75-E32</f>
        <v>377962.01</v>
      </c>
      <c r="G32" s="54">
        <f>2527122.8-E32-F32</f>
        <v>1746086.0499999996</v>
      </c>
      <c r="H32" s="31">
        <f>2916292.33-E32-F32-G32</f>
        <v>389169.53000000049</v>
      </c>
      <c r="I32" s="33">
        <f>3599842.84-E32-F32-G32-H32</f>
        <v>683550.50999999978</v>
      </c>
      <c r="J32" s="117">
        <f>4277317.1-E32-F32-G32-H32-I32</f>
        <v>677474.25999999978</v>
      </c>
      <c r="K32" s="34">
        <f>6039055.88-E32-F32-G32-H32-I32-J32</f>
        <v>1761738.7800000003</v>
      </c>
      <c r="L32" s="55">
        <f>6453722.6-E32-F32-G32-H32-I32-J32-K32</f>
        <v>414666.71999999974</v>
      </c>
      <c r="M32" s="56">
        <f>6550122.91-E32-F32-G32-H32-I32-J32-K32-L32</f>
        <v>96400.310000000522</v>
      </c>
      <c r="N32" s="57">
        <f>8043599.39-E32-F32-G32-H32-I32-J32-K32-L32-M32</f>
        <v>1493476.4799999995</v>
      </c>
      <c r="O32" s="37"/>
      <c r="P32" s="91"/>
    </row>
    <row r="33" spans="1:16" s="18" customFormat="1" ht="141" x14ac:dyDescent="1.35">
      <c r="A33" s="96" t="s">
        <v>36</v>
      </c>
      <c r="B33" s="29"/>
      <c r="C33" s="29"/>
      <c r="D33" s="30">
        <f t="shared" si="3"/>
        <v>0</v>
      </c>
      <c r="E33" s="134">
        <v>0</v>
      </c>
      <c r="F33" s="38">
        <v>0</v>
      </c>
      <c r="G33" s="54">
        <v>0</v>
      </c>
      <c r="H33" s="58"/>
      <c r="I33" s="59">
        <v>0</v>
      </c>
      <c r="J33" s="118">
        <v>0</v>
      </c>
      <c r="K33" s="60">
        <v>0</v>
      </c>
      <c r="L33" s="59">
        <v>0</v>
      </c>
      <c r="M33" s="58">
        <v>0</v>
      </c>
      <c r="N33" s="57">
        <v>0</v>
      </c>
      <c r="O33" s="37"/>
      <c r="P33" s="58"/>
    </row>
    <row r="34" spans="1:16" x14ac:dyDescent="1.35">
      <c r="A34" s="96" t="s">
        <v>37</v>
      </c>
      <c r="B34" s="29">
        <v>2657297.1</v>
      </c>
      <c r="C34" s="29">
        <v>307297.09999999998</v>
      </c>
      <c r="D34" s="30">
        <f t="shared" si="3"/>
        <v>2197953.83</v>
      </c>
      <c r="E34" s="131">
        <v>0</v>
      </c>
      <c r="F34" s="38"/>
      <c r="G34" s="32">
        <v>0</v>
      </c>
      <c r="H34" s="31">
        <f>9023.11-E34-F34-G34</f>
        <v>9023.11</v>
      </c>
      <c r="I34" s="33">
        <f>604008.65-E34-F34-G34-H34</f>
        <v>594985.54</v>
      </c>
      <c r="J34" s="113">
        <f>1260800.59-E34-F34-G34-H34-I34</f>
        <v>656791.93999999994</v>
      </c>
      <c r="K34" s="34">
        <f>1260800.59-E34-F34-G34-H34-I34-J34</f>
        <v>0</v>
      </c>
      <c r="L34" s="37">
        <f>1260800.59-E34-F34-G34-H34-I34-J34-K34</f>
        <v>0</v>
      </c>
      <c r="M34" s="33">
        <f>1260800.59-E34-F34-G34-H34-I34-J34-K34-L34</f>
        <v>0</v>
      </c>
      <c r="N34" s="36">
        <f>2197953.83-E34-F34-G34-H34-I34-J34-K34-L34-M34</f>
        <v>937153.24000000022</v>
      </c>
      <c r="O34" s="37"/>
      <c r="P34" s="44"/>
    </row>
    <row r="35" spans="1:16" ht="269.25" customHeight="1" x14ac:dyDescent="1.35">
      <c r="A35" s="95" t="s">
        <v>38</v>
      </c>
      <c r="B35" s="61">
        <f t="shared" ref="B35:M35" si="5">SUM(B36:B42)</f>
        <v>0</v>
      </c>
      <c r="C35" s="61">
        <f t="shared" si="5"/>
        <v>0</v>
      </c>
      <c r="D35" s="26">
        <f t="shared" si="5"/>
        <v>0</v>
      </c>
      <c r="E35" s="130">
        <f t="shared" si="5"/>
        <v>0</v>
      </c>
      <c r="F35" s="26">
        <f t="shared" si="5"/>
        <v>0</v>
      </c>
      <c r="G35" s="26">
        <f t="shared" si="5"/>
        <v>0</v>
      </c>
      <c r="H35" s="26">
        <f t="shared" si="5"/>
        <v>0</v>
      </c>
      <c r="I35" s="26">
        <f t="shared" si="5"/>
        <v>0</v>
      </c>
      <c r="J35" s="119">
        <f t="shared" si="5"/>
        <v>0</v>
      </c>
      <c r="K35" s="119">
        <f t="shared" si="5"/>
        <v>0</v>
      </c>
      <c r="L35" s="119">
        <f t="shared" si="5"/>
        <v>0</v>
      </c>
      <c r="M35" s="119">
        <f t="shared" si="5"/>
        <v>0</v>
      </c>
      <c r="N35" s="36"/>
      <c r="O35" s="40"/>
    </row>
    <row r="36" spans="1:16" ht="141" x14ac:dyDescent="1.35">
      <c r="A36" s="96" t="s">
        <v>39</v>
      </c>
      <c r="B36" s="25">
        <v>0</v>
      </c>
      <c r="C36" s="25">
        <v>0</v>
      </c>
      <c r="D36" s="30">
        <f t="shared" ref="D36:D50" si="6">SUM(E36:P36)</f>
        <v>0</v>
      </c>
      <c r="E36" s="131">
        <v>0</v>
      </c>
      <c r="F36" s="38">
        <v>0</v>
      </c>
      <c r="G36" s="32">
        <v>0</v>
      </c>
      <c r="H36" s="51">
        <v>0</v>
      </c>
      <c r="I36" s="40">
        <v>0</v>
      </c>
      <c r="J36" s="115"/>
      <c r="K36" s="62"/>
      <c r="L36" s="40"/>
      <c r="M36" s="33"/>
      <c r="N36" s="36"/>
      <c r="O36" s="40"/>
    </row>
    <row r="37" spans="1:16" ht="141" x14ac:dyDescent="1.35">
      <c r="A37" s="96" t="s">
        <v>40</v>
      </c>
      <c r="B37" s="25">
        <v>0</v>
      </c>
      <c r="C37" s="25">
        <v>0</v>
      </c>
      <c r="D37" s="30">
        <f t="shared" si="6"/>
        <v>0</v>
      </c>
      <c r="E37" s="131">
        <v>0</v>
      </c>
      <c r="F37" s="38">
        <v>0</v>
      </c>
      <c r="G37" s="32">
        <v>0</v>
      </c>
      <c r="H37" s="51">
        <v>0</v>
      </c>
      <c r="I37" s="40">
        <v>0</v>
      </c>
      <c r="J37" s="115"/>
      <c r="K37" s="62">
        <v>0</v>
      </c>
      <c r="L37" s="40"/>
      <c r="M37" s="33"/>
      <c r="N37" s="36"/>
      <c r="O37" s="40"/>
    </row>
    <row r="38" spans="1:16" ht="141" x14ac:dyDescent="1.35">
      <c r="A38" s="96" t="s">
        <v>41</v>
      </c>
      <c r="B38" s="25">
        <v>0</v>
      </c>
      <c r="C38" s="25">
        <v>0</v>
      </c>
      <c r="D38" s="30">
        <f t="shared" si="6"/>
        <v>0</v>
      </c>
      <c r="E38" s="131">
        <v>0</v>
      </c>
      <c r="F38" s="38">
        <v>0</v>
      </c>
      <c r="G38" s="32">
        <v>0</v>
      </c>
      <c r="H38" s="51">
        <v>0</v>
      </c>
      <c r="I38" s="40">
        <v>0</v>
      </c>
      <c r="J38" s="115"/>
      <c r="K38" s="62">
        <v>0</v>
      </c>
      <c r="L38" s="40"/>
      <c r="M38" s="33"/>
      <c r="N38" s="36"/>
      <c r="O38" s="40"/>
    </row>
    <row r="39" spans="1:16" ht="141" x14ac:dyDescent="1.35">
      <c r="A39" s="96" t="s">
        <v>42</v>
      </c>
      <c r="B39" s="25">
        <v>0</v>
      </c>
      <c r="C39" s="25">
        <v>0</v>
      </c>
      <c r="D39" s="30">
        <f t="shared" si="6"/>
        <v>0</v>
      </c>
      <c r="E39" s="131">
        <v>0</v>
      </c>
      <c r="F39" s="38">
        <v>0</v>
      </c>
      <c r="G39" s="32">
        <v>0</v>
      </c>
      <c r="H39" s="51">
        <v>0</v>
      </c>
      <c r="I39" s="40">
        <v>0</v>
      </c>
      <c r="J39" s="115"/>
      <c r="K39" s="62">
        <v>0</v>
      </c>
      <c r="L39" s="40"/>
      <c r="M39" s="33"/>
      <c r="N39" s="36"/>
      <c r="O39" s="40"/>
    </row>
    <row r="40" spans="1:16" ht="141" x14ac:dyDescent="1.35">
      <c r="A40" s="96" t="s">
        <v>43</v>
      </c>
      <c r="B40" s="25">
        <v>0</v>
      </c>
      <c r="C40" s="25">
        <v>0</v>
      </c>
      <c r="D40" s="30">
        <f t="shared" si="6"/>
        <v>0</v>
      </c>
      <c r="E40" s="131">
        <v>0</v>
      </c>
      <c r="F40" s="38">
        <v>0</v>
      </c>
      <c r="G40" s="32">
        <v>0</v>
      </c>
      <c r="H40" s="51">
        <v>0</v>
      </c>
      <c r="I40" s="40">
        <v>0</v>
      </c>
      <c r="J40" s="115"/>
      <c r="K40" s="62">
        <v>0</v>
      </c>
      <c r="L40" s="40"/>
      <c r="M40" s="33"/>
      <c r="N40" s="36"/>
      <c r="O40" s="40"/>
    </row>
    <row r="41" spans="1:16" ht="141" x14ac:dyDescent="1.35">
      <c r="A41" s="96" t="s">
        <v>44</v>
      </c>
      <c r="B41" s="25">
        <v>0</v>
      </c>
      <c r="C41" s="25">
        <v>0</v>
      </c>
      <c r="D41" s="30">
        <f t="shared" si="6"/>
        <v>0</v>
      </c>
      <c r="E41" s="131">
        <v>0</v>
      </c>
      <c r="F41" s="38">
        <v>0</v>
      </c>
      <c r="G41" s="32">
        <v>0</v>
      </c>
      <c r="H41" s="51">
        <v>0</v>
      </c>
      <c r="I41" s="40">
        <v>0</v>
      </c>
      <c r="J41" s="115"/>
      <c r="K41" s="62">
        <v>0</v>
      </c>
      <c r="L41" s="40"/>
      <c r="M41" s="33"/>
      <c r="N41" s="36"/>
      <c r="O41" s="40"/>
    </row>
    <row r="42" spans="1:16" ht="141" x14ac:dyDescent="1.35">
      <c r="A42" s="96" t="s">
        <v>45</v>
      </c>
      <c r="B42" s="25">
        <v>0</v>
      </c>
      <c r="C42" s="25">
        <v>0</v>
      </c>
      <c r="D42" s="30">
        <f t="shared" si="6"/>
        <v>0</v>
      </c>
      <c r="E42" s="131">
        <v>0</v>
      </c>
      <c r="F42" s="38">
        <v>0</v>
      </c>
      <c r="G42" s="32">
        <v>0</v>
      </c>
      <c r="H42" s="51">
        <v>0</v>
      </c>
      <c r="I42" s="40">
        <v>0</v>
      </c>
      <c r="J42" s="115"/>
      <c r="K42" s="62">
        <v>0</v>
      </c>
      <c r="L42" s="40"/>
      <c r="M42" s="33"/>
      <c r="N42" s="36"/>
      <c r="O42" s="40"/>
    </row>
    <row r="43" spans="1:16" ht="215.25" customHeight="1" x14ac:dyDescent="1.35">
      <c r="A43" s="95" t="s">
        <v>46</v>
      </c>
      <c r="B43" s="61">
        <f t="shared" ref="B43:J43" si="7">SUM(B44:B50)</f>
        <v>0</v>
      </c>
      <c r="C43" s="61">
        <f t="shared" si="7"/>
        <v>0</v>
      </c>
      <c r="D43" s="26">
        <f t="shared" si="7"/>
        <v>0</v>
      </c>
      <c r="E43" s="130">
        <f t="shared" si="7"/>
        <v>0</v>
      </c>
      <c r="F43" s="26">
        <f t="shared" si="7"/>
        <v>0</v>
      </c>
      <c r="G43" s="26">
        <f t="shared" si="7"/>
        <v>0</v>
      </c>
      <c r="H43" s="26">
        <f t="shared" si="7"/>
        <v>0</v>
      </c>
      <c r="I43" s="26">
        <f t="shared" si="7"/>
        <v>0</v>
      </c>
      <c r="J43" s="119">
        <f t="shared" si="7"/>
        <v>0</v>
      </c>
      <c r="K43" s="48"/>
      <c r="L43" s="42"/>
      <c r="M43" s="43"/>
      <c r="N43" s="36"/>
      <c r="O43" s="40"/>
    </row>
    <row r="44" spans="1:16" ht="141" x14ac:dyDescent="1.35">
      <c r="A44" s="96" t="s">
        <v>47</v>
      </c>
      <c r="B44" s="25">
        <v>0</v>
      </c>
      <c r="C44" s="25">
        <v>0</v>
      </c>
      <c r="D44" s="30">
        <f t="shared" si="6"/>
        <v>0</v>
      </c>
      <c r="E44" s="131">
        <v>0</v>
      </c>
      <c r="F44" s="32">
        <v>0</v>
      </c>
      <c r="G44" s="32">
        <v>0</v>
      </c>
      <c r="H44" s="51">
        <v>0</v>
      </c>
      <c r="I44" s="40">
        <v>0</v>
      </c>
      <c r="J44" s="115"/>
      <c r="K44" s="62"/>
      <c r="L44" s="40"/>
      <c r="M44" s="33"/>
      <c r="N44" s="36"/>
      <c r="O44" s="40"/>
    </row>
    <row r="45" spans="1:16" ht="141" x14ac:dyDescent="1.35">
      <c r="A45" s="96" t="s">
        <v>48</v>
      </c>
      <c r="B45" s="25">
        <v>0</v>
      </c>
      <c r="C45" s="25">
        <v>0</v>
      </c>
      <c r="D45" s="30">
        <f t="shared" si="6"/>
        <v>0</v>
      </c>
      <c r="E45" s="131"/>
      <c r="F45" s="32">
        <v>0</v>
      </c>
      <c r="G45" s="32">
        <v>0</v>
      </c>
      <c r="H45" s="51">
        <v>0</v>
      </c>
      <c r="I45" s="40">
        <v>0</v>
      </c>
      <c r="J45" s="115"/>
      <c r="K45" s="62">
        <v>0</v>
      </c>
      <c r="L45" s="40"/>
      <c r="M45" s="33"/>
      <c r="N45" s="36"/>
      <c r="O45" s="40"/>
    </row>
    <row r="46" spans="1:16" ht="141" x14ac:dyDescent="1.35">
      <c r="A46" s="96" t="s">
        <v>49</v>
      </c>
      <c r="B46" s="25">
        <v>0</v>
      </c>
      <c r="C46" s="25">
        <v>0</v>
      </c>
      <c r="D46" s="30">
        <f t="shared" si="6"/>
        <v>0</v>
      </c>
      <c r="E46" s="131">
        <v>0</v>
      </c>
      <c r="F46" s="32">
        <v>0</v>
      </c>
      <c r="G46" s="32">
        <v>0</v>
      </c>
      <c r="H46" s="51">
        <v>0</v>
      </c>
      <c r="I46" s="40">
        <v>0</v>
      </c>
      <c r="J46" s="115"/>
      <c r="K46" s="62">
        <v>0</v>
      </c>
      <c r="L46" s="40"/>
      <c r="M46" s="33"/>
      <c r="N46" s="36"/>
      <c r="O46" s="40"/>
    </row>
    <row r="47" spans="1:16" ht="141" x14ac:dyDescent="1.35">
      <c r="A47" s="96" t="s">
        <v>50</v>
      </c>
      <c r="B47" s="25">
        <v>0</v>
      </c>
      <c r="C47" s="25">
        <v>0</v>
      </c>
      <c r="D47" s="30">
        <f t="shared" si="6"/>
        <v>0</v>
      </c>
      <c r="E47" s="131">
        <v>0</v>
      </c>
      <c r="F47" s="32">
        <v>0</v>
      </c>
      <c r="G47" s="32">
        <v>0</v>
      </c>
      <c r="H47" s="51">
        <v>0</v>
      </c>
      <c r="I47" s="40">
        <v>0</v>
      </c>
      <c r="J47" s="115"/>
      <c r="K47" s="62">
        <v>0</v>
      </c>
      <c r="L47" s="40"/>
      <c r="M47" s="33"/>
      <c r="N47" s="36"/>
      <c r="O47" s="40"/>
    </row>
    <row r="48" spans="1:16" ht="141" x14ac:dyDescent="1.35">
      <c r="A48" s="96" t="s">
        <v>51</v>
      </c>
      <c r="B48" s="25">
        <v>0</v>
      </c>
      <c r="C48" s="25">
        <v>0</v>
      </c>
      <c r="D48" s="30">
        <f t="shared" si="6"/>
        <v>0</v>
      </c>
      <c r="E48" s="131">
        <v>0</v>
      </c>
      <c r="F48" s="32">
        <v>0</v>
      </c>
      <c r="G48" s="32">
        <v>0</v>
      </c>
      <c r="H48" s="51">
        <v>0</v>
      </c>
      <c r="I48" s="40">
        <v>0</v>
      </c>
      <c r="J48" s="115"/>
      <c r="K48" s="62">
        <v>0</v>
      </c>
      <c r="L48" s="40"/>
      <c r="M48" s="33"/>
      <c r="N48" s="36"/>
      <c r="O48" s="40"/>
    </row>
    <row r="49" spans="1:16" ht="141" x14ac:dyDescent="1.35">
      <c r="A49" s="96" t="s">
        <v>52</v>
      </c>
      <c r="B49" s="25">
        <v>0</v>
      </c>
      <c r="C49" s="25">
        <v>0</v>
      </c>
      <c r="D49" s="30">
        <f t="shared" si="6"/>
        <v>0</v>
      </c>
      <c r="E49" s="131">
        <v>0</v>
      </c>
      <c r="F49" s="32">
        <v>0</v>
      </c>
      <c r="G49" s="32">
        <v>0</v>
      </c>
      <c r="H49" s="51">
        <v>0</v>
      </c>
      <c r="I49" s="40">
        <v>0</v>
      </c>
      <c r="J49" s="115"/>
      <c r="K49" s="62">
        <v>0</v>
      </c>
      <c r="L49" s="40"/>
      <c r="M49" s="33"/>
      <c r="N49" s="36"/>
      <c r="O49" s="40"/>
    </row>
    <row r="50" spans="1:16" ht="141" x14ac:dyDescent="1.35">
      <c r="A50" s="96" t="s">
        <v>53</v>
      </c>
      <c r="B50" s="25">
        <v>0</v>
      </c>
      <c r="C50" s="25">
        <v>0</v>
      </c>
      <c r="D50" s="30">
        <f t="shared" si="6"/>
        <v>0</v>
      </c>
      <c r="E50" s="131">
        <v>0</v>
      </c>
      <c r="F50" s="32">
        <v>0</v>
      </c>
      <c r="G50" s="32">
        <v>0</v>
      </c>
      <c r="H50" s="51">
        <v>0</v>
      </c>
      <c r="I50" s="40">
        <v>0</v>
      </c>
      <c r="J50" s="115"/>
      <c r="K50" s="62">
        <v>0</v>
      </c>
      <c r="L50" s="40"/>
      <c r="M50" s="33"/>
      <c r="N50" s="36"/>
      <c r="O50" s="40"/>
    </row>
    <row r="51" spans="1:16" ht="247.5" customHeight="1" x14ac:dyDescent="1.35">
      <c r="A51" s="95" t="s">
        <v>54</v>
      </c>
      <c r="B51" s="25">
        <f t="shared" ref="B51:M51" si="8">SUM(B52:B60)</f>
        <v>3680000</v>
      </c>
      <c r="C51" s="25">
        <f t="shared" si="8"/>
        <v>130000</v>
      </c>
      <c r="D51" s="26">
        <f t="shared" si="8"/>
        <v>1769886.31</v>
      </c>
      <c r="E51" s="130">
        <f t="shared" si="8"/>
        <v>0</v>
      </c>
      <c r="F51" s="26">
        <f t="shared" si="8"/>
        <v>0</v>
      </c>
      <c r="G51" s="27">
        <f t="shared" si="8"/>
        <v>0</v>
      </c>
      <c r="H51" s="27">
        <f t="shared" si="8"/>
        <v>235974.80000000002</v>
      </c>
      <c r="I51" s="27">
        <f t="shared" si="8"/>
        <v>0</v>
      </c>
      <c r="J51" s="112">
        <f t="shared" si="8"/>
        <v>0</v>
      </c>
      <c r="K51" s="112">
        <f t="shared" si="8"/>
        <v>231016.86</v>
      </c>
      <c r="L51" s="112">
        <f t="shared" si="8"/>
        <v>0</v>
      </c>
      <c r="M51" s="112">
        <f t="shared" si="8"/>
        <v>-129997.06</v>
      </c>
      <c r="N51" s="36"/>
      <c r="O51" s="40"/>
    </row>
    <row r="52" spans="1:16" x14ac:dyDescent="1.35">
      <c r="A52" s="96" t="s">
        <v>55</v>
      </c>
      <c r="B52" s="29">
        <v>2995100</v>
      </c>
      <c r="C52" s="29">
        <v>130000</v>
      </c>
      <c r="D52" s="30">
        <f t="shared" ref="D52:D60" si="9">E52+F52+G52+H52+I52+J52+K52+L52+M52+N52+O52+P52</f>
        <v>1449791.25</v>
      </c>
      <c r="E52" s="131">
        <v>0</v>
      </c>
      <c r="F52" s="32">
        <v>0</v>
      </c>
      <c r="G52" s="32">
        <v>0</v>
      </c>
      <c r="H52" s="31">
        <f>16899.54-E52-F52-G52</f>
        <v>16899.54</v>
      </c>
      <c r="I52" s="33">
        <f>16899.54-E52-F52-G52-H52</f>
        <v>0</v>
      </c>
      <c r="J52" s="113">
        <f>16899.54-E52-F52-G52-H52-I52</f>
        <v>0</v>
      </c>
      <c r="K52" s="34">
        <f>146896.6-F52-G52-H52-I52-J52</f>
        <v>129997.06</v>
      </c>
      <c r="L52" s="37">
        <f>146896.6-E52-F52-G52-H52-I52-J52-K52</f>
        <v>0</v>
      </c>
      <c r="M52" s="33">
        <f>16899.54-E52-F52-G52-H52-I52-J52-K52-L52</f>
        <v>-129997.06</v>
      </c>
      <c r="N52" s="36">
        <f>1449791.25-E52-F52-G52-H52-I52-J52-K52-L52-M52</f>
        <v>1432891.71</v>
      </c>
      <c r="O52" s="37"/>
      <c r="P52" s="44"/>
    </row>
    <row r="53" spans="1:16" ht="141" x14ac:dyDescent="1.35">
      <c r="A53" s="96" t="s">
        <v>56</v>
      </c>
      <c r="B53" s="29"/>
      <c r="C53" s="29"/>
      <c r="D53" s="30">
        <f t="shared" si="9"/>
        <v>0</v>
      </c>
      <c r="E53" s="131">
        <v>0</v>
      </c>
      <c r="F53" s="32">
        <v>0</v>
      </c>
      <c r="G53" s="32">
        <v>0</v>
      </c>
      <c r="H53" s="51"/>
      <c r="I53" s="53"/>
      <c r="J53" s="120">
        <v>0</v>
      </c>
      <c r="K53" s="52">
        <v>0</v>
      </c>
      <c r="L53" s="53"/>
      <c r="M53" s="33">
        <v>0</v>
      </c>
      <c r="N53" s="36"/>
      <c r="O53" s="37"/>
      <c r="P53" s="39"/>
    </row>
    <row r="54" spans="1:16" ht="141" x14ac:dyDescent="1.35">
      <c r="A54" s="96" t="s">
        <v>57</v>
      </c>
      <c r="B54" s="29"/>
      <c r="C54" s="29"/>
      <c r="D54" s="30">
        <f t="shared" si="9"/>
        <v>0</v>
      </c>
      <c r="E54" s="131">
        <v>0</v>
      </c>
      <c r="F54" s="32">
        <v>0</v>
      </c>
      <c r="G54" s="32">
        <v>0</v>
      </c>
      <c r="H54" s="51"/>
      <c r="I54" s="41"/>
      <c r="J54" s="120">
        <v>0</v>
      </c>
      <c r="K54" s="47">
        <v>0</v>
      </c>
      <c r="L54" s="53"/>
      <c r="M54" s="33">
        <v>0</v>
      </c>
      <c r="N54" s="36"/>
      <c r="O54" s="37"/>
      <c r="P54" s="44"/>
    </row>
    <row r="55" spans="1:16" ht="141" x14ac:dyDescent="1.35">
      <c r="A55" s="96" t="s">
        <v>58</v>
      </c>
      <c r="B55" s="29"/>
      <c r="C55" s="29"/>
      <c r="D55" s="30">
        <f t="shared" si="9"/>
        <v>0</v>
      </c>
      <c r="E55" s="131">
        <v>0</v>
      </c>
      <c r="F55" s="32">
        <v>0</v>
      </c>
      <c r="G55" s="32">
        <v>0</v>
      </c>
      <c r="H55" s="31"/>
      <c r="I55" s="33"/>
      <c r="J55" s="113">
        <v>0</v>
      </c>
      <c r="K55" s="34">
        <v>0</v>
      </c>
      <c r="L55" s="37"/>
      <c r="M55" s="33">
        <v>0</v>
      </c>
      <c r="N55" s="36"/>
      <c r="O55" s="37"/>
      <c r="P55" s="39"/>
    </row>
    <row r="56" spans="1:16" ht="162" customHeight="1" x14ac:dyDescent="1.35">
      <c r="A56" s="96" t="s">
        <v>59</v>
      </c>
      <c r="B56" s="29">
        <v>556000</v>
      </c>
      <c r="C56" s="29">
        <v>21100</v>
      </c>
      <c r="D56" s="30">
        <f t="shared" si="9"/>
        <v>320095.06</v>
      </c>
      <c r="E56" s="131">
        <v>0</v>
      </c>
      <c r="F56" s="32">
        <v>0</v>
      </c>
      <c r="G56" s="32"/>
      <c r="H56" s="31">
        <f>219075.26-E56-F56-G56</f>
        <v>219075.26</v>
      </c>
      <c r="I56" s="37">
        <f>219075.26-E56-F56-G56-H56</f>
        <v>0</v>
      </c>
      <c r="J56" s="113">
        <f>219075.26-E56-F56-G56-H56-I56</f>
        <v>0</v>
      </c>
      <c r="K56" s="34">
        <f>320095.06-E56-F56-G56-H56-I56-J56</f>
        <v>101019.79999999999</v>
      </c>
      <c r="L56" s="37">
        <f>320095.06-E56-F56-G56-H56-I56-J56-K56</f>
        <v>0</v>
      </c>
      <c r="M56" s="33">
        <f>320095.06-E56-F56-G56-H56-I56-J56-K56-L56</f>
        <v>0</v>
      </c>
      <c r="N56" s="36"/>
      <c r="O56" s="37"/>
      <c r="P56" s="44"/>
    </row>
    <row r="57" spans="1:16" ht="162" customHeight="1" x14ac:dyDescent="1.35">
      <c r="A57" s="96" t="s">
        <v>60</v>
      </c>
      <c r="B57" s="29">
        <v>0</v>
      </c>
      <c r="C57" s="29"/>
      <c r="D57" s="30">
        <f t="shared" si="9"/>
        <v>0</v>
      </c>
      <c r="E57" s="131">
        <v>0</v>
      </c>
      <c r="F57" s="32">
        <v>0</v>
      </c>
      <c r="G57" s="32">
        <v>0</v>
      </c>
      <c r="H57" s="51"/>
      <c r="I57" s="40"/>
      <c r="J57" s="115">
        <v>0</v>
      </c>
      <c r="K57" s="62">
        <v>0</v>
      </c>
      <c r="L57" s="40">
        <v>0</v>
      </c>
      <c r="M57" s="33">
        <v>0</v>
      </c>
      <c r="N57" s="36"/>
      <c r="O57" s="37"/>
      <c r="P57" s="39"/>
    </row>
    <row r="58" spans="1:16" ht="194.25" customHeight="1" x14ac:dyDescent="1.35">
      <c r="A58" s="96" t="s">
        <v>61</v>
      </c>
      <c r="B58" s="29"/>
      <c r="C58" s="29"/>
      <c r="D58" s="30">
        <f t="shared" si="9"/>
        <v>0</v>
      </c>
      <c r="E58" s="131">
        <v>0</v>
      </c>
      <c r="F58" s="32">
        <v>0</v>
      </c>
      <c r="G58" s="32">
        <v>0</v>
      </c>
      <c r="H58" s="51"/>
      <c r="I58" s="40">
        <v>0</v>
      </c>
      <c r="J58" s="115">
        <v>0</v>
      </c>
      <c r="K58" s="47">
        <v>0</v>
      </c>
      <c r="L58" s="40">
        <v>0</v>
      </c>
      <c r="M58" s="33">
        <v>0</v>
      </c>
      <c r="N58" s="36"/>
      <c r="O58" s="37"/>
    </row>
    <row r="59" spans="1:16" ht="114" customHeight="1" x14ac:dyDescent="1.35">
      <c r="A59" s="96" t="s">
        <v>62</v>
      </c>
      <c r="B59" s="29">
        <v>128900</v>
      </c>
      <c r="C59" s="29">
        <v>-21100</v>
      </c>
      <c r="D59" s="30">
        <f t="shared" si="9"/>
        <v>0</v>
      </c>
      <c r="E59" s="131">
        <v>0</v>
      </c>
      <c r="F59" s="32">
        <v>0</v>
      </c>
      <c r="G59" s="32">
        <v>0</v>
      </c>
      <c r="H59" s="50"/>
      <c r="I59" s="53"/>
      <c r="J59" s="115">
        <v>0</v>
      </c>
      <c r="K59" s="52">
        <v>0</v>
      </c>
      <c r="L59" s="53"/>
      <c r="M59" s="33">
        <v>0</v>
      </c>
      <c r="N59" s="36"/>
      <c r="O59" s="37"/>
      <c r="P59" s="44"/>
    </row>
    <row r="60" spans="1:16" ht="216" customHeight="1" x14ac:dyDescent="1.35">
      <c r="A60" s="96" t="s">
        <v>63</v>
      </c>
      <c r="B60" s="29"/>
      <c r="C60" s="29"/>
      <c r="D60" s="30">
        <f t="shared" si="9"/>
        <v>0</v>
      </c>
      <c r="E60" s="131">
        <v>0</v>
      </c>
      <c r="F60" s="32">
        <v>0</v>
      </c>
      <c r="G60" s="32">
        <v>0</v>
      </c>
      <c r="H60" s="51"/>
      <c r="I60" s="40"/>
      <c r="J60" s="115">
        <v>0</v>
      </c>
      <c r="K60" s="62">
        <v>0</v>
      </c>
      <c r="L60" s="40"/>
      <c r="M60" s="33">
        <v>0</v>
      </c>
      <c r="N60" s="36"/>
      <c r="O60" s="37"/>
      <c r="P60" s="39"/>
    </row>
    <row r="61" spans="1:16" x14ac:dyDescent="1.35">
      <c r="A61" s="95" t="s">
        <v>64</v>
      </c>
      <c r="B61" s="25">
        <f t="shared" ref="B61:J61" si="10">SUM(B62:B65)</f>
        <v>0</v>
      </c>
      <c r="C61" s="25">
        <f t="shared" si="10"/>
        <v>0</v>
      </c>
      <c r="D61" s="107">
        <f t="shared" si="10"/>
        <v>0</v>
      </c>
      <c r="E61" s="135">
        <f t="shared" si="10"/>
        <v>0</v>
      </c>
      <c r="F61" s="43">
        <f t="shared" si="10"/>
        <v>0</v>
      </c>
      <c r="G61" s="43">
        <f t="shared" si="10"/>
        <v>0</v>
      </c>
      <c r="H61" s="43">
        <f t="shared" si="10"/>
        <v>0</v>
      </c>
      <c r="I61" s="43">
        <f t="shared" si="10"/>
        <v>0</v>
      </c>
      <c r="J61" s="121">
        <f t="shared" si="10"/>
        <v>0</v>
      </c>
      <c r="K61" s="48"/>
      <c r="L61" s="42"/>
      <c r="M61" s="43"/>
      <c r="N61" s="36"/>
      <c r="O61" s="37"/>
    </row>
    <row r="62" spans="1:16" x14ac:dyDescent="1.35">
      <c r="A62" s="96" t="s">
        <v>65</v>
      </c>
      <c r="B62" s="29">
        <v>0</v>
      </c>
      <c r="C62" s="29"/>
      <c r="D62" s="33"/>
      <c r="E62" s="131">
        <v>0</v>
      </c>
      <c r="F62" s="32">
        <v>0</v>
      </c>
      <c r="G62" s="32"/>
      <c r="H62" s="44"/>
      <c r="I62" s="37"/>
      <c r="J62" s="114">
        <v>0</v>
      </c>
      <c r="K62" s="47">
        <v>0</v>
      </c>
      <c r="L62" s="41"/>
      <c r="M62" s="33">
        <v>0</v>
      </c>
      <c r="N62" s="36"/>
      <c r="O62" s="37"/>
      <c r="P62" s="39"/>
    </row>
    <row r="63" spans="1:16" x14ac:dyDescent="1.35">
      <c r="A63" s="96" t="s">
        <v>66</v>
      </c>
      <c r="B63" s="29"/>
      <c r="C63" s="29"/>
      <c r="D63" s="33"/>
      <c r="E63" s="131">
        <v>0</v>
      </c>
      <c r="F63" s="32">
        <v>0</v>
      </c>
      <c r="G63" s="32">
        <v>0</v>
      </c>
      <c r="H63" s="39"/>
      <c r="I63" s="41"/>
      <c r="J63" s="120">
        <v>0</v>
      </c>
      <c r="K63" s="47">
        <v>0</v>
      </c>
      <c r="L63" s="41"/>
      <c r="M63" s="33">
        <v>0</v>
      </c>
      <c r="N63" s="36"/>
      <c r="O63" s="41"/>
      <c r="P63" s="39"/>
    </row>
    <row r="64" spans="1:16" x14ac:dyDescent="1.35">
      <c r="A64" s="96" t="s">
        <v>67</v>
      </c>
      <c r="B64" s="29"/>
      <c r="C64" s="29"/>
      <c r="D64" s="33"/>
      <c r="E64" s="131">
        <v>0</v>
      </c>
      <c r="F64" s="32">
        <v>0</v>
      </c>
      <c r="G64" s="32">
        <v>0</v>
      </c>
      <c r="H64" s="51"/>
      <c r="I64" s="40"/>
      <c r="J64" s="115">
        <v>0</v>
      </c>
      <c r="K64" s="62">
        <v>0</v>
      </c>
      <c r="L64" s="40">
        <v>0</v>
      </c>
      <c r="M64" s="33"/>
      <c r="N64" s="36"/>
      <c r="O64" s="40"/>
    </row>
    <row r="65" spans="1:16" ht="141" x14ac:dyDescent="1.35">
      <c r="A65" s="96" t="s">
        <v>68</v>
      </c>
      <c r="B65" s="29"/>
      <c r="C65" s="29"/>
      <c r="D65" s="33"/>
      <c r="E65" s="131">
        <v>0</v>
      </c>
      <c r="F65" s="32">
        <v>0</v>
      </c>
      <c r="G65" s="32">
        <v>0</v>
      </c>
      <c r="H65" s="51"/>
      <c r="I65" s="40"/>
      <c r="J65" s="115">
        <v>0</v>
      </c>
      <c r="K65" s="62">
        <v>0</v>
      </c>
      <c r="L65" s="40">
        <v>0</v>
      </c>
      <c r="M65" s="33"/>
      <c r="N65" s="36"/>
      <c r="O65" s="40"/>
    </row>
    <row r="66" spans="1:16" ht="141" x14ac:dyDescent="1.35">
      <c r="A66" s="95" t="s">
        <v>69</v>
      </c>
      <c r="B66" s="25"/>
      <c r="C66" s="25"/>
      <c r="D66" s="43">
        <f>SUM(D67:D68)</f>
        <v>0</v>
      </c>
      <c r="E66" s="135">
        <f>SUM(E67:E68)</f>
        <v>0</v>
      </c>
      <c r="F66" s="43">
        <f>SUM(F67:F68)</f>
        <v>0</v>
      </c>
      <c r="G66" s="27">
        <f>SUM(G67:G68)</f>
        <v>0</v>
      </c>
      <c r="H66" s="111"/>
      <c r="I66" s="42"/>
      <c r="J66" s="122">
        <v>0</v>
      </c>
      <c r="K66" s="122">
        <v>0</v>
      </c>
      <c r="L66" s="40">
        <v>0</v>
      </c>
      <c r="M66" s="33"/>
      <c r="N66" s="36"/>
      <c r="O66" s="40"/>
    </row>
    <row r="67" spans="1:16" x14ac:dyDescent="1.35">
      <c r="A67" s="96" t="s">
        <v>70</v>
      </c>
      <c r="B67" s="29"/>
      <c r="C67" s="29"/>
      <c r="D67" s="33"/>
      <c r="E67" s="131">
        <v>0</v>
      </c>
      <c r="F67" s="32">
        <v>0</v>
      </c>
      <c r="G67" s="32">
        <v>0</v>
      </c>
      <c r="H67" s="51">
        <v>0</v>
      </c>
      <c r="I67" s="40">
        <v>0</v>
      </c>
      <c r="J67" s="115">
        <v>0</v>
      </c>
      <c r="K67" s="62"/>
      <c r="L67" s="40"/>
      <c r="M67" s="33"/>
      <c r="N67" s="36"/>
      <c r="O67" s="40"/>
    </row>
    <row r="68" spans="1:16" ht="141" x14ac:dyDescent="1.35">
      <c r="A68" s="96" t="s">
        <v>71</v>
      </c>
      <c r="B68" s="29"/>
      <c r="C68" s="29"/>
      <c r="D68" s="33"/>
      <c r="E68" s="131">
        <v>0</v>
      </c>
      <c r="F68" s="32">
        <v>0</v>
      </c>
      <c r="G68" s="32">
        <v>0</v>
      </c>
      <c r="H68" s="51">
        <v>0</v>
      </c>
      <c r="I68" s="40">
        <v>0</v>
      </c>
      <c r="J68" s="115">
        <v>0</v>
      </c>
      <c r="K68" s="62"/>
      <c r="L68" s="40">
        <v>0</v>
      </c>
      <c r="M68" s="33"/>
      <c r="N68" s="36"/>
      <c r="O68" s="40"/>
    </row>
    <row r="69" spans="1:16" x14ac:dyDescent="1.35">
      <c r="A69" s="95" t="s">
        <v>72</v>
      </c>
      <c r="B69" s="25"/>
      <c r="C69" s="25"/>
      <c r="D69" s="43">
        <f>SUM(D70:D72)</f>
        <v>0</v>
      </c>
      <c r="E69" s="136"/>
      <c r="F69" s="43">
        <f>SUM(E70:E72)</f>
        <v>0</v>
      </c>
      <c r="G69" s="27">
        <f>SUM(F70:F72)</f>
        <v>0</v>
      </c>
      <c r="H69" s="51"/>
      <c r="I69" s="40"/>
      <c r="J69" s="115">
        <v>0</v>
      </c>
      <c r="K69" s="62"/>
      <c r="L69" s="40">
        <v>0</v>
      </c>
      <c r="M69" s="33"/>
      <c r="N69" s="36"/>
      <c r="O69" s="40"/>
    </row>
    <row r="70" spans="1:16" x14ac:dyDescent="1.35">
      <c r="A70" s="96" t="s">
        <v>73</v>
      </c>
      <c r="B70" s="29"/>
      <c r="C70" s="29"/>
      <c r="D70" s="33"/>
      <c r="E70" s="131">
        <v>0</v>
      </c>
      <c r="F70" s="32">
        <v>0</v>
      </c>
      <c r="G70" s="32">
        <v>0</v>
      </c>
      <c r="H70" s="51">
        <v>0</v>
      </c>
      <c r="I70" s="40">
        <v>0</v>
      </c>
      <c r="J70" s="115">
        <v>0</v>
      </c>
      <c r="K70" s="62"/>
      <c r="L70" s="40"/>
      <c r="M70" s="33"/>
      <c r="N70" s="36"/>
      <c r="O70" s="40"/>
      <c r="P70" s="31"/>
    </row>
    <row r="71" spans="1:16" x14ac:dyDescent="1.35">
      <c r="A71" s="96" t="s">
        <v>74</v>
      </c>
      <c r="B71" s="29"/>
      <c r="C71" s="29"/>
      <c r="D71" s="33"/>
      <c r="E71" s="131">
        <v>0</v>
      </c>
      <c r="F71" s="32">
        <v>0</v>
      </c>
      <c r="G71" s="32">
        <v>0</v>
      </c>
      <c r="H71" s="51">
        <v>0</v>
      </c>
      <c r="I71" s="40">
        <v>0</v>
      </c>
      <c r="J71" s="115">
        <v>0</v>
      </c>
      <c r="K71" s="62"/>
      <c r="L71" s="40">
        <v>0</v>
      </c>
      <c r="M71" s="33"/>
      <c r="N71" s="36"/>
      <c r="O71" s="40"/>
    </row>
    <row r="72" spans="1:16" ht="141" x14ac:dyDescent="1.35">
      <c r="A72" s="96" t="s">
        <v>75</v>
      </c>
      <c r="B72" s="29"/>
      <c r="C72" s="29"/>
      <c r="D72" s="33"/>
      <c r="E72" s="131">
        <v>0</v>
      </c>
      <c r="F72" s="32">
        <v>0</v>
      </c>
      <c r="G72" s="32">
        <v>0</v>
      </c>
      <c r="H72" s="51">
        <v>0</v>
      </c>
      <c r="I72" s="40">
        <v>0</v>
      </c>
      <c r="J72" s="115"/>
      <c r="K72" s="62"/>
      <c r="L72" s="40">
        <v>0</v>
      </c>
      <c r="M72" s="33"/>
      <c r="N72" s="36"/>
      <c r="O72" s="40"/>
    </row>
    <row r="73" spans="1:16" s="5" customFormat="1" x14ac:dyDescent="1.35">
      <c r="A73" s="97" t="s">
        <v>76</v>
      </c>
      <c r="B73" s="146">
        <f>B9+B15+B25+B51+B61</f>
        <v>338691605.63</v>
      </c>
      <c r="C73" s="146">
        <f>C9+C15+C25+C51+C61</f>
        <v>7711819.629999999</v>
      </c>
      <c r="D73" s="146">
        <f>D9+D15+D25+D51+D61</f>
        <v>241038395.46000001</v>
      </c>
      <c r="E73" s="143">
        <f>E9+E15+E25+E51+E61</f>
        <v>19984469.59</v>
      </c>
      <c r="F73" s="143">
        <f t="shared" ref="F73:L73" si="11">F9+F15+F25+F51+F61</f>
        <v>20364401.770000003</v>
      </c>
      <c r="G73" s="143">
        <f t="shared" si="11"/>
        <v>22259866.280000005</v>
      </c>
      <c r="H73" s="143">
        <f t="shared" si="11"/>
        <v>14950422.840000004</v>
      </c>
      <c r="I73" s="143">
        <f t="shared" si="11"/>
        <v>33251377.509999983</v>
      </c>
      <c r="J73" s="143">
        <f t="shared" si="11"/>
        <v>28368291.720000006</v>
      </c>
      <c r="K73" s="143">
        <f t="shared" si="11"/>
        <v>24736476.979999993</v>
      </c>
      <c r="L73" s="143">
        <f t="shared" si="11"/>
        <v>18804490.959999997</v>
      </c>
      <c r="M73" s="145">
        <f t="shared" ref="M73:P73" si="12">SUM(M10:M72)</f>
        <v>759640.47999999905</v>
      </c>
      <c r="N73" s="66">
        <f t="shared" si="12"/>
        <v>45130701.570000008</v>
      </c>
      <c r="O73" s="65">
        <f t="shared" si="12"/>
        <v>0</v>
      </c>
      <c r="P73" s="64">
        <f t="shared" si="12"/>
        <v>0</v>
      </c>
    </row>
    <row r="74" spans="1:16" x14ac:dyDescent="1.35">
      <c r="A74" s="96"/>
      <c r="B74" s="67"/>
      <c r="C74" s="67"/>
      <c r="D74" s="33"/>
      <c r="E74" s="131"/>
      <c r="F74" s="32"/>
      <c r="G74" s="32"/>
      <c r="H74" s="51"/>
      <c r="I74" s="41"/>
      <c r="J74" s="115"/>
      <c r="K74" s="62"/>
      <c r="L74" s="40"/>
      <c r="M74" s="33"/>
      <c r="N74" s="36"/>
      <c r="O74" s="40"/>
    </row>
    <row r="75" spans="1:16" x14ac:dyDescent="1.35">
      <c r="A75" s="94" t="s">
        <v>77</v>
      </c>
      <c r="B75" s="68"/>
      <c r="C75" s="68"/>
      <c r="D75" s="69"/>
      <c r="E75" s="137"/>
      <c r="F75" s="71"/>
      <c r="G75" s="71"/>
      <c r="H75" s="70"/>
      <c r="I75" s="72"/>
      <c r="J75" s="70"/>
      <c r="K75" s="126"/>
      <c r="L75" s="72"/>
      <c r="M75" s="69"/>
      <c r="N75" s="73"/>
      <c r="O75" s="72"/>
      <c r="P75" s="70"/>
    </row>
    <row r="76" spans="1:16" ht="189" customHeight="1" x14ac:dyDescent="1.35">
      <c r="A76" s="95" t="s">
        <v>78</v>
      </c>
      <c r="B76" s="74"/>
      <c r="C76" s="75"/>
      <c r="D76" s="43">
        <f>D77+D78</f>
        <v>0</v>
      </c>
      <c r="E76" s="135">
        <f>E77+E78</f>
        <v>0</v>
      </c>
      <c r="F76" s="43">
        <f>F77+F78</f>
        <v>0</v>
      </c>
      <c r="G76" s="27">
        <f>G77+G78</f>
        <v>0</v>
      </c>
      <c r="H76" s="51"/>
      <c r="I76" s="40"/>
      <c r="J76" s="114">
        <f>J77+J78</f>
        <v>0</v>
      </c>
      <c r="K76" s="45"/>
      <c r="L76" s="40"/>
      <c r="M76" s="33"/>
      <c r="N76" s="36"/>
      <c r="O76" s="40"/>
    </row>
    <row r="77" spans="1:16" ht="141" x14ac:dyDescent="1.35">
      <c r="A77" s="96" t="s">
        <v>79</v>
      </c>
      <c r="B77" s="67"/>
      <c r="C77" s="76"/>
      <c r="D77" s="33"/>
      <c r="E77" s="131">
        <v>0</v>
      </c>
      <c r="F77" s="38">
        <v>0</v>
      </c>
      <c r="G77" s="32"/>
      <c r="H77" s="31">
        <v>0</v>
      </c>
      <c r="I77" s="40">
        <v>0</v>
      </c>
      <c r="J77" s="115"/>
      <c r="K77" s="62"/>
      <c r="L77" s="37"/>
      <c r="M77" s="33"/>
      <c r="N77" s="36"/>
      <c r="O77" s="40"/>
    </row>
    <row r="78" spans="1:16" ht="141" x14ac:dyDescent="1.35">
      <c r="A78" s="96" t="s">
        <v>80</v>
      </c>
      <c r="B78" s="76"/>
      <c r="C78" s="76"/>
      <c r="D78" s="33"/>
      <c r="E78" s="131">
        <v>0</v>
      </c>
      <c r="F78" s="38"/>
      <c r="G78" s="32"/>
      <c r="H78" s="51">
        <v>0</v>
      </c>
      <c r="I78" s="40">
        <v>0</v>
      </c>
      <c r="J78" s="114"/>
      <c r="K78" s="62"/>
      <c r="L78" s="40"/>
      <c r="M78" s="33"/>
      <c r="N78" s="36"/>
      <c r="O78" s="40"/>
    </row>
    <row r="79" spans="1:16" ht="226.5" customHeight="1" x14ac:dyDescent="1.35">
      <c r="A79" s="95" t="s">
        <v>81</v>
      </c>
      <c r="B79" s="74"/>
      <c r="C79" s="74"/>
      <c r="D79" s="43">
        <f>D80+D81</f>
        <v>0</v>
      </c>
      <c r="E79" s="135">
        <f>E80+E81</f>
        <v>0</v>
      </c>
      <c r="F79" s="43">
        <f>F80+F81</f>
        <v>0</v>
      </c>
      <c r="G79" s="27">
        <f>G80+G81</f>
        <v>0</v>
      </c>
      <c r="H79" s="51"/>
      <c r="I79" s="40"/>
      <c r="J79" s="115"/>
      <c r="K79" s="62"/>
      <c r="L79" s="40"/>
      <c r="M79" s="33"/>
      <c r="N79" s="36"/>
      <c r="O79" s="40"/>
    </row>
    <row r="80" spans="1:16" ht="177.75" customHeight="1" x14ac:dyDescent="1.35">
      <c r="A80" s="96" t="s">
        <v>82</v>
      </c>
      <c r="B80" s="67"/>
      <c r="C80" s="67"/>
      <c r="D80" s="30">
        <f>SUM(E80:P80)</f>
        <v>0</v>
      </c>
      <c r="E80" s="131">
        <v>0</v>
      </c>
      <c r="F80" s="38">
        <v>0</v>
      </c>
      <c r="G80" s="32"/>
      <c r="H80" s="32">
        <v>0</v>
      </c>
      <c r="I80" s="37">
        <v>0</v>
      </c>
      <c r="J80" s="114"/>
      <c r="K80" s="45"/>
      <c r="L80" s="37"/>
      <c r="M80" s="33"/>
      <c r="N80" s="36"/>
      <c r="O80" s="37"/>
    </row>
    <row r="81" spans="1:16" ht="285.75" customHeight="1" x14ac:dyDescent="1.35">
      <c r="A81" s="96" t="s">
        <v>83</v>
      </c>
      <c r="B81" s="67"/>
      <c r="C81" s="67"/>
      <c r="D81" s="33"/>
      <c r="E81" s="131">
        <v>0</v>
      </c>
      <c r="F81" s="38">
        <v>0</v>
      </c>
      <c r="G81" s="32"/>
      <c r="H81" s="51">
        <v>0</v>
      </c>
      <c r="I81" s="40">
        <v>0</v>
      </c>
      <c r="J81" s="115"/>
      <c r="K81" s="62"/>
      <c r="L81" s="40"/>
      <c r="M81" s="33"/>
      <c r="N81" s="36"/>
      <c r="O81" s="40"/>
    </row>
    <row r="82" spans="1:16" ht="226.5" customHeight="1" x14ac:dyDescent="1.35">
      <c r="A82" s="95" t="s">
        <v>84</v>
      </c>
      <c r="B82" s="74"/>
      <c r="C82" s="74"/>
      <c r="D82" s="43">
        <f>D83</f>
        <v>0</v>
      </c>
      <c r="E82" s="135">
        <f>E83</f>
        <v>0</v>
      </c>
      <c r="F82" s="43">
        <f>F83</f>
        <v>0</v>
      </c>
      <c r="G82" s="27">
        <f>G83</f>
        <v>0</v>
      </c>
      <c r="H82" s="51"/>
      <c r="I82" s="40"/>
      <c r="J82" s="115"/>
      <c r="K82" s="62"/>
      <c r="L82" s="40"/>
      <c r="M82" s="33"/>
      <c r="N82" s="36"/>
      <c r="O82" s="40"/>
    </row>
    <row r="83" spans="1:16" x14ac:dyDescent="1.35">
      <c r="A83" s="96" t="s">
        <v>85</v>
      </c>
      <c r="B83" s="67"/>
      <c r="C83" s="67"/>
      <c r="D83" s="33"/>
      <c r="E83" s="131">
        <v>0</v>
      </c>
      <c r="F83" s="38">
        <v>0</v>
      </c>
      <c r="G83" s="32"/>
      <c r="H83" s="51">
        <v>0</v>
      </c>
      <c r="I83" s="40">
        <v>0</v>
      </c>
      <c r="J83" s="115"/>
      <c r="K83" s="62"/>
      <c r="L83" s="40"/>
      <c r="M83" s="33"/>
      <c r="N83" s="36"/>
      <c r="O83" s="40"/>
    </row>
    <row r="84" spans="1:16" s="5" customFormat="1" x14ac:dyDescent="1.35">
      <c r="A84" s="97" t="s">
        <v>86</v>
      </c>
      <c r="B84" s="77"/>
      <c r="C84" s="77"/>
      <c r="D84" s="78">
        <f>D76+D79+D82</f>
        <v>0</v>
      </c>
      <c r="E84" s="138">
        <f>E76+E79+E82</f>
        <v>0</v>
      </c>
      <c r="F84" s="78">
        <f>F76+F79+F82</f>
        <v>0</v>
      </c>
      <c r="G84" s="79">
        <f>G76+G79+G82</f>
        <v>0</v>
      </c>
      <c r="H84" s="63">
        <f>SUM(H75:H83)</f>
        <v>0</v>
      </c>
      <c r="I84" s="63">
        <f>SUM(I75:I83)</f>
        <v>0</v>
      </c>
      <c r="J84" s="64"/>
      <c r="K84" s="84"/>
      <c r="L84" s="64"/>
      <c r="M84" s="65"/>
      <c r="N84" s="66"/>
      <c r="O84" s="64"/>
      <c r="P84" s="64"/>
    </row>
    <row r="85" spans="1:16" x14ac:dyDescent="1.35">
      <c r="A85" s="98"/>
      <c r="B85" s="80"/>
      <c r="C85" s="80"/>
      <c r="D85" s="33"/>
      <c r="E85" s="136"/>
      <c r="F85" s="32"/>
      <c r="G85" s="32"/>
      <c r="H85" s="51"/>
      <c r="I85" s="40"/>
      <c r="J85" s="115"/>
      <c r="K85" s="62"/>
      <c r="L85" s="40"/>
      <c r="M85" s="33"/>
      <c r="N85" s="36"/>
      <c r="O85" s="40"/>
    </row>
    <row r="86" spans="1:16" s="5" customFormat="1" ht="204.75" customHeight="1" x14ac:dyDescent="1.35">
      <c r="A86" s="97" t="s">
        <v>87</v>
      </c>
      <c r="B86" s="81">
        <f>B73+B84</f>
        <v>338691605.63</v>
      </c>
      <c r="C86" s="81">
        <f>C73+C84</f>
        <v>7711819.629999999</v>
      </c>
      <c r="D86" s="82">
        <f t="shared" ref="D86:I86" si="13">SUM(D84,D73)</f>
        <v>241038395.46000001</v>
      </c>
      <c r="E86" s="139">
        <f t="shared" si="13"/>
        <v>19984469.59</v>
      </c>
      <c r="F86" s="83">
        <f t="shared" si="13"/>
        <v>20364401.770000003</v>
      </c>
      <c r="G86" s="83">
        <f t="shared" si="13"/>
        <v>22259866.280000005</v>
      </c>
      <c r="H86" s="83">
        <f t="shared" si="13"/>
        <v>14950422.840000004</v>
      </c>
      <c r="I86" s="83">
        <f t="shared" si="13"/>
        <v>33251377.509999983</v>
      </c>
      <c r="J86" s="84">
        <f t="shared" ref="J86:P86" si="14">SUM(J84,J73)</f>
        <v>28368291.720000006</v>
      </c>
      <c r="K86" s="84">
        <f t="shared" si="14"/>
        <v>24736476.979999993</v>
      </c>
      <c r="L86" s="84">
        <f t="shared" si="14"/>
        <v>18804490.959999997</v>
      </c>
      <c r="M86" s="85">
        <f t="shared" si="14"/>
        <v>759640.47999999905</v>
      </c>
      <c r="N86" s="86">
        <f t="shared" si="14"/>
        <v>45130701.570000008</v>
      </c>
      <c r="O86" s="85">
        <f t="shared" si="14"/>
        <v>0</v>
      </c>
      <c r="P86" s="84">
        <f t="shared" si="14"/>
        <v>0</v>
      </c>
    </row>
    <row r="87" spans="1:16" x14ac:dyDescent="1.35">
      <c r="B87" s="87"/>
      <c r="C87" s="87"/>
      <c r="D87" s="33"/>
      <c r="E87" s="136"/>
      <c r="F87" s="32"/>
      <c r="G87" s="32"/>
      <c r="H87" s="51"/>
      <c r="I87" s="40"/>
      <c r="J87" s="51"/>
      <c r="K87" s="62"/>
      <c r="L87" s="40"/>
      <c r="M87" s="33"/>
      <c r="N87" s="36"/>
      <c r="O87" s="40"/>
    </row>
    <row r="88" spans="1:16" ht="110.25" x14ac:dyDescent="2.0499999999999998">
      <c r="A88" s="92" t="s">
        <v>92</v>
      </c>
      <c r="C88" s="19"/>
      <c r="E88" s="144"/>
      <c r="K88" s="123"/>
      <c r="L88" s="5"/>
      <c r="M88" s="2"/>
      <c r="N88" s="15"/>
      <c r="O88" s="5"/>
    </row>
    <row r="89" spans="1:16" ht="258" customHeight="1" x14ac:dyDescent="1.35">
      <c r="A89" s="157" t="s">
        <v>98</v>
      </c>
      <c r="B89" s="157"/>
      <c r="C89" s="157"/>
      <c r="D89" s="157"/>
      <c r="E89" s="157"/>
      <c r="K89" s="123"/>
      <c r="L89" s="5"/>
      <c r="M89" s="2"/>
      <c r="N89" s="15"/>
      <c r="O89" s="5"/>
    </row>
    <row r="90" spans="1:16" x14ac:dyDescent="1.35">
      <c r="A90" s="99"/>
      <c r="K90" s="123"/>
      <c r="L90" s="5"/>
      <c r="M90" s="2"/>
      <c r="N90" s="15"/>
      <c r="O90" s="5"/>
    </row>
    <row r="91" spans="1:16" ht="93" customHeight="1" x14ac:dyDescent="1.35">
      <c r="A91" s="157" t="s">
        <v>93</v>
      </c>
      <c r="B91" s="157"/>
      <c r="C91" s="157"/>
      <c r="D91" s="157"/>
      <c r="E91" s="157"/>
      <c r="F91" s="157"/>
      <c r="G91" s="157"/>
      <c r="H91" s="157"/>
      <c r="I91" s="157"/>
      <c r="J91" s="157"/>
      <c r="K91" s="157"/>
      <c r="L91" s="5"/>
      <c r="M91" s="2"/>
      <c r="N91" s="15"/>
      <c r="O91" s="5"/>
    </row>
    <row r="92" spans="1:16" ht="93" x14ac:dyDescent="1.35">
      <c r="A92" s="157"/>
      <c r="B92" s="157"/>
      <c r="C92" s="157"/>
      <c r="D92" s="157"/>
      <c r="K92" s="123"/>
      <c r="L92" s="5"/>
      <c r="M92" s="2"/>
      <c r="N92" s="15"/>
      <c r="O92" s="5"/>
    </row>
    <row r="93" spans="1:16" ht="408.75" customHeight="1" x14ac:dyDescent="1.35">
      <c r="A93" s="157" t="s">
        <v>94</v>
      </c>
      <c r="B93" s="157"/>
      <c r="C93" s="157"/>
      <c r="D93" s="157"/>
      <c r="E93" s="157"/>
      <c r="F93" s="102"/>
      <c r="K93" s="123"/>
      <c r="L93" s="5"/>
      <c r="M93" s="2"/>
      <c r="N93" s="15"/>
      <c r="O93" s="5"/>
    </row>
    <row r="94" spans="1:16" ht="93" x14ac:dyDescent="1.35">
      <c r="A94" s="103"/>
      <c r="B94" s="103"/>
      <c r="C94" s="103"/>
      <c r="D94" s="108"/>
      <c r="E94" s="140"/>
      <c r="F94" s="102"/>
      <c r="K94" s="123"/>
      <c r="L94" s="5"/>
      <c r="M94" s="2"/>
      <c r="N94" s="15"/>
      <c r="O94" s="5"/>
    </row>
    <row r="95" spans="1:16" ht="93" x14ac:dyDescent="1.35">
      <c r="A95" s="110"/>
      <c r="B95" s="110"/>
      <c r="C95" s="110"/>
      <c r="D95" s="108"/>
      <c r="E95" s="140"/>
      <c r="F95" s="102"/>
      <c r="K95" s="123"/>
      <c r="L95" s="5"/>
      <c r="M95" s="2"/>
      <c r="N95" s="15"/>
      <c r="O95" s="5"/>
    </row>
    <row r="96" spans="1:16" ht="93" x14ac:dyDescent="1.35">
      <c r="A96" s="110"/>
      <c r="B96" s="110"/>
      <c r="C96" s="110"/>
      <c r="D96" s="108"/>
      <c r="E96" s="140"/>
      <c r="F96" s="102"/>
      <c r="K96" s="123"/>
      <c r="L96" s="5"/>
      <c r="M96" s="2"/>
      <c r="N96" s="15"/>
      <c r="O96" s="5"/>
    </row>
    <row r="97" spans="1:15" ht="93" x14ac:dyDescent="1.35">
      <c r="A97" s="110"/>
      <c r="B97" s="110"/>
      <c r="C97" s="110"/>
      <c r="D97" s="108"/>
      <c r="E97" s="140"/>
      <c r="F97" s="102"/>
      <c r="K97" s="123"/>
      <c r="L97" s="5"/>
      <c r="M97" s="2"/>
      <c r="N97" s="15"/>
      <c r="O97" s="5"/>
    </row>
    <row r="98" spans="1:15" ht="93" x14ac:dyDescent="1.35">
      <c r="A98" s="110"/>
      <c r="B98" s="110"/>
      <c r="C98" s="110"/>
      <c r="D98" s="108"/>
      <c r="E98" s="140"/>
      <c r="F98" s="102"/>
      <c r="K98" s="123"/>
      <c r="L98" s="5"/>
      <c r="M98" s="2"/>
      <c r="N98" s="15"/>
      <c r="O98" s="5"/>
    </row>
    <row r="99" spans="1:15" ht="93" x14ac:dyDescent="1.35">
      <c r="A99" s="110"/>
      <c r="B99" s="110"/>
      <c r="C99" s="110"/>
      <c r="D99" s="108"/>
      <c r="E99" s="140"/>
      <c r="F99" s="102"/>
      <c r="K99" s="123"/>
      <c r="L99" s="5"/>
      <c r="M99" s="2"/>
      <c r="N99" s="15"/>
      <c r="O99" s="5"/>
    </row>
    <row r="100" spans="1:15" ht="93" x14ac:dyDescent="1.35">
      <c r="A100" s="103"/>
      <c r="B100" s="103"/>
      <c r="C100" s="103"/>
      <c r="D100" s="108"/>
      <c r="E100" s="140"/>
      <c r="F100" s="102"/>
      <c r="K100" s="123"/>
      <c r="L100" s="5"/>
      <c r="M100" s="2"/>
      <c r="N100" s="15"/>
      <c r="O100" s="5"/>
    </row>
    <row r="101" spans="1:15" ht="93" x14ac:dyDescent="1.35">
      <c r="A101" s="103"/>
      <c r="B101" s="103"/>
      <c r="C101" s="103"/>
      <c r="D101" s="109"/>
      <c r="E101" s="140"/>
      <c r="F101" s="102"/>
      <c r="K101" s="123"/>
      <c r="L101" s="5"/>
      <c r="M101" s="2"/>
      <c r="N101" s="15"/>
      <c r="O101" s="5"/>
    </row>
    <row r="102" spans="1:15" ht="93" x14ac:dyDescent="1.35">
      <c r="A102" s="103"/>
      <c r="B102" s="103"/>
      <c r="C102" s="103"/>
      <c r="D102" s="108"/>
      <c r="E102" s="140"/>
      <c r="F102" s="102"/>
      <c r="K102" s="123"/>
      <c r="L102" s="5"/>
      <c r="M102" s="2"/>
      <c r="N102" s="15"/>
      <c r="O102" s="5"/>
    </row>
    <row r="103" spans="1:15" ht="93" x14ac:dyDescent="1.35">
      <c r="A103" s="103"/>
      <c r="B103" s="103"/>
      <c r="C103" s="103"/>
      <c r="D103" s="108"/>
      <c r="E103" s="140"/>
      <c r="F103" s="102"/>
      <c r="K103" s="123"/>
      <c r="L103" s="5"/>
      <c r="M103" s="2"/>
      <c r="N103" s="15"/>
      <c r="O103" s="5"/>
    </row>
    <row r="104" spans="1:15" ht="93" x14ac:dyDescent="1.35">
      <c r="A104" s="100"/>
      <c r="B104" s="20"/>
      <c r="C104" s="20"/>
      <c r="D104" s="108"/>
      <c r="E104" s="140"/>
      <c r="F104" s="20"/>
      <c r="K104" s="123"/>
      <c r="L104" s="5"/>
      <c r="M104" s="2"/>
      <c r="N104" s="15"/>
      <c r="O104" s="5"/>
    </row>
    <row r="105" spans="1:15" ht="130.5" customHeight="1" x14ac:dyDescent="1.8">
      <c r="A105" s="155" t="s">
        <v>100</v>
      </c>
      <c r="B105" s="155"/>
      <c r="C105" s="155"/>
      <c r="D105" s="155"/>
      <c r="E105" s="155"/>
      <c r="F105" s="155"/>
      <c r="G105" s="155"/>
      <c r="H105" s="155"/>
      <c r="I105" s="155"/>
      <c r="J105" s="155"/>
      <c r="K105" s="155"/>
      <c r="L105" s="155"/>
      <c r="M105" s="155"/>
      <c r="N105" s="155"/>
      <c r="O105" s="105"/>
    </row>
    <row r="106" spans="1:15" ht="110.25" x14ac:dyDescent="2.0499999999999998">
      <c r="A106" s="156" t="s">
        <v>88</v>
      </c>
      <c r="B106" s="156"/>
      <c r="C106" s="156"/>
      <c r="D106" s="156"/>
      <c r="E106" s="156"/>
      <c r="F106" s="156"/>
      <c r="G106" s="156"/>
      <c r="H106" s="156"/>
      <c r="I106" s="156"/>
      <c r="J106" s="156"/>
      <c r="K106" s="156"/>
      <c r="L106" s="156"/>
      <c r="M106" s="156"/>
      <c r="N106" s="156"/>
      <c r="O106" s="106"/>
    </row>
    <row r="107" spans="1:15" x14ac:dyDescent="1.35">
      <c r="K107" s="123"/>
      <c r="L107" s="5"/>
      <c r="M107" s="2"/>
      <c r="N107" s="15"/>
      <c r="O107" s="5"/>
    </row>
    <row r="108" spans="1:15" x14ac:dyDescent="1.35">
      <c r="K108" s="123"/>
      <c r="L108" s="5"/>
      <c r="M108" s="2"/>
      <c r="N108" s="15"/>
      <c r="O108" s="5"/>
    </row>
    <row r="118" spans="1:14" x14ac:dyDescent="1.35">
      <c r="D118" s="17"/>
      <c r="E118" s="141"/>
      <c r="J118" s="16"/>
    </row>
    <row r="119" spans="1:14" x14ac:dyDescent="1.35">
      <c r="D119" s="17"/>
      <c r="E119" s="141"/>
      <c r="J119" s="16"/>
    </row>
    <row r="120" spans="1:14" x14ac:dyDescent="1.35">
      <c r="D120" s="17"/>
      <c r="E120" s="141"/>
    </row>
    <row r="121" spans="1:14" x14ac:dyDescent="1.35">
      <c r="D121" s="17"/>
      <c r="E121" s="141"/>
    </row>
    <row r="123" spans="1:14" x14ac:dyDescent="1.35">
      <c r="J123" s="16"/>
    </row>
    <row r="124" spans="1:14" x14ac:dyDescent="1.35">
      <c r="E124" s="15"/>
      <c r="N124" s="23"/>
    </row>
    <row r="125" spans="1:14" x14ac:dyDescent="1.35">
      <c r="A125" s="101"/>
      <c r="B125" s="24"/>
      <c r="C125" s="24"/>
    </row>
    <row r="129" spans="5:8" x14ac:dyDescent="1.35">
      <c r="H129" s="14"/>
    </row>
    <row r="131" spans="5:8" x14ac:dyDescent="1.35">
      <c r="E131" s="142"/>
    </row>
  </sheetData>
  <mergeCells count="9">
    <mergeCell ref="A105:N105"/>
    <mergeCell ref="A106:N106"/>
    <mergeCell ref="A93:E93"/>
    <mergeCell ref="A6:N6"/>
    <mergeCell ref="A1:N1"/>
    <mergeCell ref="A2:N2"/>
    <mergeCell ref="A91:K91"/>
    <mergeCell ref="A89:E89"/>
    <mergeCell ref="A92:D92"/>
  </mergeCells>
  <pageMargins left="0" right="0" top="0.19685039370078741" bottom="0.15748031496062992" header="0.31496062992125984" footer="0.31496062992125984"/>
  <pageSetup paperSize="5" scale="12" fitToWidth="0" fitToHeight="3" orientation="landscape" horizontalDpi="1200" verticalDpi="1200" r:id="rId1"/>
  <headerFooter>
    <oddFooter>&amp;L&amp;8&amp;F&amp;C&amp;8Pág. &amp;P de &amp;N&amp;R&amp;8&amp;D-&amp;T</oddFooter>
  </headerFooter>
  <rowBreaks count="3" manualBreakCount="3">
    <brk id="34" max="13" man="1"/>
    <brk id="60" max="13" man="1"/>
    <brk id="8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Presup 2024</vt:lpstr>
      <vt:lpstr>'Ejec. Presup 2024'!Área_de_impresión</vt:lpstr>
      <vt:lpstr>'Ejec. Presup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Carlos Morel Medina</dc:creator>
  <cp:lastModifiedBy>Jennifer Segura</cp:lastModifiedBy>
  <cp:lastPrinted>2024-11-05T17:07:26Z</cp:lastPrinted>
  <dcterms:created xsi:type="dcterms:W3CDTF">2017-12-09T22:11:36Z</dcterms:created>
  <dcterms:modified xsi:type="dcterms:W3CDTF">2024-11-15T15:49:39Z</dcterms:modified>
</cp:coreProperties>
</file>